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DESCARGA DE RESPONSABILIDAD" sheetId="5" r:id="rId1"/>
    <sheet name="⚙️ Configuración" sheetId="1" r:id="rId2"/>
    <sheet name="📅 Datos Diarios" sheetId="2" r:id="rId3"/>
    <sheet name="📦 Inventario" sheetId="3" r:id="rId4"/>
    <sheet name="📊 Dashboard Ejecutivo" sheetId="4" r:id="rId5"/>
  </sheets>
  <externalReferences>
    <externalReference r:id="rId6"/>
    <externalReference r:id="rId7"/>
    <externalReference r:id="rId8"/>
    <externalReference r:id="rId9"/>
    <externalReference r:id="rId10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 concurrentCalc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33" i="4" l="1"/>
  <c r="D32" i="4"/>
  <c r="D31" i="4"/>
  <c r="D30" i="4"/>
  <c r="D29" i="4"/>
  <c r="D28" i="4"/>
  <c r="J23" i="4"/>
  <c r="J22" i="4"/>
  <c r="H22" i="4"/>
  <c r="G22" i="4"/>
  <c r="F22" i="4"/>
  <c r="E22" i="4"/>
  <c r="D22" i="4"/>
  <c r="C22" i="4"/>
  <c r="I22" i="4"/>
  <c r="K22" i="4"/>
  <c r="L22" i="4"/>
  <c r="J21" i="4"/>
  <c r="H21" i="4"/>
  <c r="G21" i="4"/>
  <c r="F21" i="4"/>
  <c r="E21" i="4"/>
  <c r="D21" i="4"/>
  <c r="C21" i="4"/>
  <c r="J20" i="4"/>
  <c r="H20" i="4"/>
  <c r="G20" i="4"/>
  <c r="F20" i="4"/>
  <c r="E20" i="4"/>
  <c r="D20" i="4"/>
  <c r="C20" i="4"/>
  <c r="J19" i="4"/>
  <c r="H19" i="4"/>
  <c r="G19" i="4"/>
  <c r="F19" i="4"/>
  <c r="E19" i="4"/>
  <c r="D19" i="4"/>
  <c r="C19" i="4"/>
  <c r="M12" i="4"/>
  <c r="K12" i="4"/>
  <c r="I12" i="4"/>
  <c r="G12" i="4"/>
  <c r="E12" i="4"/>
  <c r="C12" i="4"/>
  <c r="H4" i="4"/>
  <c r="E4" i="4"/>
  <c r="B4" i="4"/>
  <c r="F22" i="3"/>
  <c r="G22" i="3"/>
  <c r="D22" i="3"/>
  <c r="C22" i="3"/>
  <c r="B22" i="3"/>
  <c r="F21" i="3"/>
  <c r="G21" i="3"/>
  <c r="H21" i="3"/>
  <c r="E21" i="3"/>
  <c r="D21" i="3"/>
  <c r="C21" i="3"/>
  <c r="B21" i="3"/>
  <c r="F20" i="3"/>
  <c r="D20" i="3"/>
  <c r="G20" i="3"/>
  <c r="H20" i="3"/>
  <c r="C20" i="3"/>
  <c r="B20" i="3"/>
  <c r="G19" i="3"/>
  <c r="F19" i="3"/>
  <c r="D19" i="3"/>
  <c r="C19" i="3"/>
  <c r="B19" i="3"/>
  <c r="F18" i="3"/>
  <c r="G18" i="3"/>
  <c r="H18" i="3"/>
  <c r="D18" i="3"/>
  <c r="C18" i="3"/>
  <c r="B18" i="3"/>
  <c r="F17" i="3"/>
  <c r="G17" i="3"/>
  <c r="H17" i="3"/>
  <c r="E17" i="3"/>
  <c r="D17" i="3"/>
  <c r="C17" i="3"/>
  <c r="B17" i="3"/>
  <c r="I13" i="3"/>
  <c r="E13" i="3"/>
  <c r="D13" i="3"/>
  <c r="H12" i="3"/>
  <c r="I12" i="3"/>
  <c r="E12" i="3"/>
  <c r="G12" i="3"/>
  <c r="H11" i="3"/>
  <c r="I11" i="3"/>
  <c r="E11" i="3"/>
  <c r="G11" i="3"/>
  <c r="H10" i="3"/>
  <c r="I10" i="3"/>
  <c r="E10" i="3"/>
  <c r="G10" i="3"/>
  <c r="H9" i="3"/>
  <c r="I9" i="3"/>
  <c r="E9" i="3"/>
  <c r="G9" i="3"/>
  <c r="H8" i="3"/>
  <c r="I8" i="3"/>
  <c r="E8" i="3"/>
  <c r="G8" i="3"/>
  <c r="H7" i="3"/>
  <c r="I7" i="3"/>
  <c r="E7" i="3"/>
  <c r="F13" i="3"/>
  <c r="I34" i="2"/>
  <c r="G34" i="2"/>
  <c r="C33" i="4"/>
  <c r="F33" i="4"/>
  <c r="F34" i="2"/>
  <c r="E34" i="2"/>
  <c r="K34" i="2"/>
  <c r="N33" i="2"/>
  <c r="M33" i="2"/>
  <c r="K33" i="2"/>
  <c r="J33" i="2"/>
  <c r="H33" i="2"/>
  <c r="C33" i="2"/>
  <c r="N32" i="2"/>
  <c r="M32" i="2"/>
  <c r="K32" i="2"/>
  <c r="J32" i="2"/>
  <c r="H32" i="2"/>
  <c r="C32" i="2"/>
  <c r="N31" i="2"/>
  <c r="M31" i="2"/>
  <c r="K31" i="2"/>
  <c r="J31" i="2"/>
  <c r="H31" i="2"/>
  <c r="C31" i="2"/>
  <c r="N30" i="2"/>
  <c r="M30" i="2"/>
  <c r="K30" i="2"/>
  <c r="J30" i="2"/>
  <c r="H30" i="2"/>
  <c r="C30" i="2"/>
  <c r="N29" i="2"/>
  <c r="M29" i="2"/>
  <c r="K29" i="2"/>
  <c r="J29" i="2"/>
  <c r="H29" i="2"/>
  <c r="C29" i="2"/>
  <c r="N28" i="2"/>
  <c r="M28" i="2"/>
  <c r="K28" i="2"/>
  <c r="J28" i="2"/>
  <c r="H28" i="2"/>
  <c r="C28" i="2"/>
  <c r="N27" i="2"/>
  <c r="M27" i="2"/>
  <c r="K27" i="2"/>
  <c r="J27" i="2"/>
  <c r="H27" i="2"/>
  <c r="C27" i="2"/>
  <c r="N26" i="2"/>
  <c r="M26" i="2"/>
  <c r="K26" i="2"/>
  <c r="J26" i="2"/>
  <c r="H26" i="2"/>
  <c r="C26" i="2"/>
  <c r="N25" i="2"/>
  <c r="M25" i="2"/>
  <c r="K25" i="2"/>
  <c r="J25" i="2"/>
  <c r="H25" i="2"/>
  <c r="C25" i="2"/>
  <c r="N24" i="2"/>
  <c r="M24" i="2"/>
  <c r="K24" i="2"/>
  <c r="J24" i="2"/>
  <c r="H24" i="2"/>
  <c r="C24" i="2"/>
  <c r="N23" i="2"/>
  <c r="M23" i="2"/>
  <c r="K23" i="2"/>
  <c r="J23" i="2"/>
  <c r="H23" i="2"/>
  <c r="C23" i="2"/>
  <c r="N22" i="2"/>
  <c r="M22" i="2"/>
  <c r="K22" i="2"/>
  <c r="J22" i="2"/>
  <c r="H22" i="2"/>
  <c r="C22" i="2"/>
  <c r="N21" i="2"/>
  <c r="M21" i="2"/>
  <c r="K21" i="2"/>
  <c r="J21" i="2"/>
  <c r="H21" i="2"/>
  <c r="C21" i="2"/>
  <c r="N20" i="2"/>
  <c r="M20" i="2"/>
  <c r="K20" i="2"/>
  <c r="J20" i="2"/>
  <c r="H20" i="2"/>
  <c r="C20" i="2"/>
  <c r="N19" i="2"/>
  <c r="M19" i="2"/>
  <c r="K19" i="2"/>
  <c r="J19" i="2"/>
  <c r="H19" i="2"/>
  <c r="C19" i="2"/>
  <c r="N18" i="2"/>
  <c r="M18" i="2"/>
  <c r="K18" i="2"/>
  <c r="J18" i="2"/>
  <c r="H18" i="2"/>
  <c r="C18" i="2"/>
  <c r="N17" i="2"/>
  <c r="M17" i="2"/>
  <c r="K17" i="2"/>
  <c r="J17" i="2"/>
  <c r="H17" i="2"/>
  <c r="C17" i="2"/>
  <c r="N16" i="2"/>
  <c r="M16" i="2"/>
  <c r="K16" i="2"/>
  <c r="J16" i="2"/>
  <c r="H16" i="2"/>
  <c r="C16" i="2"/>
  <c r="N15" i="2"/>
  <c r="M15" i="2"/>
  <c r="K15" i="2"/>
  <c r="J15" i="2"/>
  <c r="H15" i="2"/>
  <c r="C15" i="2"/>
  <c r="N14" i="2"/>
  <c r="M14" i="2"/>
  <c r="K14" i="2"/>
  <c r="J14" i="2"/>
  <c r="H14" i="2"/>
  <c r="C14" i="2"/>
  <c r="N13" i="2"/>
  <c r="M13" i="2"/>
  <c r="K13" i="2"/>
  <c r="J13" i="2"/>
  <c r="H13" i="2"/>
  <c r="C13" i="2"/>
  <c r="N12" i="2"/>
  <c r="M12" i="2"/>
  <c r="K12" i="2"/>
  <c r="J12" i="2"/>
  <c r="H12" i="2"/>
  <c r="C12" i="2"/>
  <c r="N11" i="2"/>
  <c r="M11" i="2"/>
  <c r="K11" i="2"/>
  <c r="J11" i="2"/>
  <c r="H11" i="2"/>
  <c r="C11" i="2"/>
  <c r="N10" i="2"/>
  <c r="M10" i="2"/>
  <c r="K10" i="2"/>
  <c r="J10" i="2"/>
  <c r="H10" i="2"/>
  <c r="C10" i="2"/>
  <c r="N9" i="2"/>
  <c r="M9" i="2"/>
  <c r="K9" i="2"/>
  <c r="J9" i="2"/>
  <c r="H9" i="2"/>
  <c r="C9" i="2"/>
  <c r="N8" i="2"/>
  <c r="M8" i="2"/>
  <c r="K8" i="2"/>
  <c r="J8" i="2"/>
  <c r="H8" i="2"/>
  <c r="C8" i="2"/>
  <c r="F5" i="2"/>
  <c r="C5" i="2"/>
  <c r="E33" i="1"/>
  <c r="E22" i="3"/>
  <c r="E32" i="1"/>
  <c r="E31" i="1"/>
  <c r="E20" i="3"/>
  <c r="E30" i="1"/>
  <c r="E19" i="3"/>
  <c r="E29" i="1"/>
  <c r="E18" i="3"/>
  <c r="E28" i="1"/>
  <c r="D23" i="1"/>
  <c r="D22" i="1"/>
  <c r="D21" i="1"/>
  <c r="D20" i="1"/>
  <c r="D19" i="1"/>
  <c r="D18" i="1"/>
  <c r="I21" i="4"/>
  <c r="C30" i="4"/>
  <c r="F30" i="4"/>
  <c r="I19" i="4"/>
  <c r="H34" i="2"/>
  <c r="C29" i="4"/>
  <c r="F29" i="4"/>
  <c r="L14" i="4"/>
  <c r="O73" i="4"/>
  <c r="J34" i="2"/>
  <c r="F9" i="4"/>
  <c r="B14" i="4"/>
  <c r="K21" i="4"/>
  <c r="L21" i="4"/>
  <c r="E30" i="4"/>
  <c r="O58" i="4"/>
  <c r="O74" i="4"/>
  <c r="I20" i="4"/>
  <c r="K20" i="4"/>
  <c r="L20" i="4"/>
  <c r="E29" i="4"/>
  <c r="O57" i="4"/>
  <c r="K19" i="4"/>
  <c r="L19" i="4"/>
  <c r="F13" i="4"/>
  <c r="C32" i="4"/>
  <c r="J13" i="4"/>
  <c r="J9" i="4"/>
  <c r="J14" i="4"/>
  <c r="H22" i="3"/>
  <c r="G29" i="4"/>
  <c r="H19" i="3"/>
  <c r="E33" i="4"/>
  <c r="O61" i="4"/>
  <c r="D14" i="4"/>
  <c r="G7" i="3"/>
  <c r="H13" i="3"/>
  <c r="B9" i="4"/>
  <c r="B13" i="4"/>
  <c r="F14" i="4"/>
  <c r="I23" i="4"/>
  <c r="K23" i="4"/>
  <c r="L23" i="4"/>
  <c r="C28" i="4"/>
  <c r="D9" i="4"/>
  <c r="L9" i="4"/>
  <c r="D13" i="4"/>
  <c r="L13" i="4"/>
  <c r="G30" i="4"/>
  <c r="E28" i="4"/>
  <c r="O56" i="4"/>
  <c r="F28" i="4"/>
  <c r="H14" i="4"/>
  <c r="C31" i="4"/>
  <c r="H13" i="4"/>
  <c r="H9" i="4"/>
  <c r="E32" i="4"/>
  <c r="O60" i="4"/>
  <c r="F32" i="4"/>
  <c r="G33" i="4"/>
  <c r="G28" i="4"/>
  <c r="E31" i="4"/>
  <c r="O59" i="4"/>
  <c r="F31" i="4"/>
  <c r="G32" i="4"/>
  <c r="G31" i="4"/>
</calcChain>
</file>

<file path=xl/sharedStrings.xml><?xml version="1.0" encoding="utf-8"?>
<sst xmlns="http://schemas.openxmlformats.org/spreadsheetml/2006/main" count="187" uniqueCount="139">
  <si>
    <t>📊 KPI RETAIL — CONFIGURACIÓN DE LA TIENDA</t>
  </si>
  <si>
    <t>DATOS DE LA TIENDA</t>
  </si>
  <si>
    <t>Nombre de la tienda</t>
  </si>
  <si>
    <t>Mi Tienda Retail</t>
  </si>
  <si>
    <t>Responsable / Gerente</t>
  </si>
  <si>
    <t>Nombre Gerente</t>
  </si>
  <si>
    <t>Ciudad / Sucursal</t>
  </si>
  <si>
    <t>Ciudad</t>
  </si>
  <si>
    <t>Mes de reporte</t>
  </si>
  <si>
    <t>Febrero</t>
  </si>
  <si>
    <t>Año de reporte</t>
  </si>
  <si>
    <t>Días hábiles del mes</t>
  </si>
  <si>
    <t>Moneda</t>
  </si>
  <si>
    <t>DOP $</t>
  </si>
  <si>
    <t>METAS MENSUALES KPI</t>
  </si>
  <si>
    <t>KPI</t>
  </si>
  <si>
    <t>Meta Mensual</t>
  </si>
  <si>
    <t>Umbral Mínimo (80%)</t>
  </si>
  <si>
    <t>Unidad</t>
  </si>
  <si>
    <t>Ventas Totales del Mes</t>
  </si>
  <si>
    <t>Ticket Promedio por Cliente</t>
  </si>
  <si>
    <t>Tasa de Conversión</t>
  </si>
  <si>
    <t>%</t>
  </si>
  <si>
    <t>Rotación de Inventario</t>
  </si>
  <si>
    <t>veces/mes</t>
  </si>
  <si>
    <t>Margen Bruto Promedio</t>
  </si>
  <si>
    <t>Clientes Atendidos (mes)</t>
  </si>
  <si>
    <t>clientes</t>
  </si>
  <si>
    <t>CATEGORÍAS DE PRODUCTO</t>
  </si>
  <si>
    <t>Categoría</t>
  </si>
  <si>
    <t>Costo Promedio</t>
  </si>
  <si>
    <t>Precio Promedio</t>
  </si>
  <si>
    <t>Margen Bruto</t>
  </si>
  <si>
    <t>Ropa y Accesorios</t>
  </si>
  <si>
    <t>Calzado</t>
  </si>
  <si>
    <t>Electrónica</t>
  </si>
  <si>
    <t>Hogar y Deco</t>
  </si>
  <si>
    <t>Belleza y Cuidado</t>
  </si>
  <si>
    <t>Alimentos y Bebidas</t>
  </si>
  <si>
    <t>LEYENDA DE COLORES</t>
  </si>
  <si>
    <t>■</t>
  </si>
  <si>
    <t>Azul = Dato de entrada (modificable por el usuario)</t>
  </si>
  <si>
    <t>Negro = Fórmula calculada automáticamente</t>
  </si>
  <si>
    <t>Verde = KPI en meta (≥ 100%)</t>
  </si>
  <si>
    <t>Amarillo = KPI en riesgo (80%–99%)</t>
  </si>
  <si>
    <t>Rojo = KPI crítico (&lt; 80%)</t>
  </si>
  <si>
    <t>📅 REGISTRO DIARIO DE KPI — VENTAS &amp; OPERACIONES</t>
  </si>
  <si>
    <t>Tienda:</t>
  </si>
  <si>
    <t>Mes:</t>
  </si>
  <si>
    <t>Día</t>
  </si>
  <si>
    <t>Fecha</t>
  </si>
  <si>
    <t>Día
Semana</t>
  </si>
  <si>
    <t>Ventas del Día
(DOP $)</t>
  </si>
  <si>
    <t>Visitantes</t>
  </si>
  <si>
    <t>Compradores</t>
  </si>
  <si>
    <t>Ticket Promedio
(DOP $)</t>
  </si>
  <si>
    <t>Costo
Mercancía (DOP $)</t>
  </si>
  <si>
    <t>Margen Bruto
(DOP $)</t>
  </si>
  <si>
    <t>Margen
Bruto %</t>
  </si>
  <si>
    <t>Meta Diaria</t>
  </si>
  <si>
    <t>Conv. %</t>
  </si>
  <si>
    <t>Lunes</t>
  </si>
  <si>
    <t>Martes</t>
  </si>
  <si>
    <t>Miércoles</t>
  </si>
  <si>
    <t>Jueves</t>
  </si>
  <si>
    <t>Viernes</t>
  </si>
  <si>
    <t>Sábado</t>
  </si>
  <si>
    <t>TOTALES / PROMEDIOS DEL MES</t>
  </si>
  <si>
    <t>📦 CONTROL DE INVENTARIO Y ROTACIÓN POR CATEGORÍA</t>
  </si>
  <si>
    <t>Stock
Inicial</t>
  </si>
  <si>
    <t>Unidades
Vendidas</t>
  </si>
  <si>
    <t>Stock
Final</t>
  </si>
  <si>
    <t>Costo
Unitario</t>
  </si>
  <si>
    <t>Valor
Inventario</t>
  </si>
  <si>
    <t>Rotación
de Inventario</t>
  </si>
  <si>
    <t>Estado
Inventario</t>
  </si>
  <si>
    <t>TOTALES</t>
  </si>
  <si>
    <t>MARGEN BRUTO POR CATEGORÍA DE PRODUCTO</t>
  </si>
  <si>
    <t>Costo
Promedio</t>
  </si>
  <si>
    <t>Precio
Promedio</t>
  </si>
  <si>
    <t>Ingreso
Total</t>
  </si>
  <si>
    <t>Ganancia
Bruta</t>
  </si>
  <si>
    <t>📊 DASHBOARD EJECUTIVO KPI RETAIL</t>
  </si>
  <si>
    <t>Gerente:</t>
  </si>
  <si>
    <t>💰 VENTAS TOTALES</t>
  </si>
  <si>
    <t>🛒 TICKET PROMEDIO</t>
  </si>
  <si>
    <t>🎯 TASA CONVERSIÓN</t>
  </si>
  <si>
    <t>📦 ROTACIÓN INV.</t>
  </si>
  <si>
    <t>💹 MARGEN BRUTO</t>
  </si>
  <si>
    <t>👥 CLIENTES MES</t>
  </si>
  <si>
    <t>Meta:</t>
  </si>
  <si>
    <t>📈 VENTAS DIARIAS vs. OBJETIVO  |  Semana a semana</t>
  </si>
  <si>
    <t>Semana</t>
  </si>
  <si>
    <t>L</t>
  </si>
  <si>
    <t>M</t>
  </si>
  <si>
    <t>X</t>
  </si>
  <si>
    <t>J</t>
  </si>
  <si>
    <t>V</t>
  </si>
  <si>
    <t>S</t>
  </si>
  <si>
    <t>TOTAL
SEMANA</t>
  </si>
  <si>
    <t>META
SEMANA</t>
  </si>
  <si>
    <t>AVANCE
%</t>
  </si>
  <si>
    <t>ESTADO</t>
  </si>
  <si>
    <t>Semana 1</t>
  </si>
  <si>
    <t>Semana 2</t>
  </si>
  <si>
    <t>Semana 3</t>
  </si>
  <si>
    <t>Semana 4</t>
  </si>
  <si>
    <t>TOTAL MES</t>
  </si>
  <si>
    <t>📋 RESUMEN EJECUTIVO DE KPI — ESTADO ACTUAL vs. META</t>
  </si>
  <si>
    <t>Valor Real</t>
  </si>
  <si>
    <t>Meta</t>
  </si>
  <si>
    <t>% Avance</t>
  </si>
  <si>
    <t>Variación vs. Meta</t>
  </si>
  <si>
    <t>Semáforo</t>
  </si>
  <si>
    <t>Recomendación</t>
  </si>
  <si>
    <t>💰 Ventas Totales</t>
  </si>
  <si>
    <t>Activar promociones si &lt; meta</t>
  </si>
  <si>
    <t>🛒 Ticket Promedio</t>
  </si>
  <si>
    <t>Revisar mix de productos</t>
  </si>
  <si>
    <t>🎯 Tasa de Conversión</t>
  </si>
  <si>
    <t>Capacitar equipo de ventas</t>
  </si>
  <si>
    <t>📦 Rotación Inventario</t>
  </si>
  <si>
    <t>Reponer stock categorías críticas</t>
  </si>
  <si>
    <t>💹 Margen Bruto</t>
  </si>
  <si>
    <t>Optimizar precios y costos</t>
  </si>
  <si>
    <t>👥 Clientes Atendidos</t>
  </si>
  <si>
    <t>Lanzar programa de fidelización</t>
  </si>
  <si>
    <t>🔄 Actualiza los datos en las hojas '📅 Datos Diarios' e '📦 Inventario' — Este dashboard se recalcula automáticamente</t>
  </si>
  <si>
    <t>📈 GRÁFICOS DE RENDIMIENTO — Ventas · Conversión · Margen · Inventario</t>
  </si>
  <si>
    <t>Ventas Totales</t>
  </si>
  <si>
    <t>Ticket Promedio</t>
  </si>
  <si>
    <t>Tasa Conversión</t>
  </si>
  <si>
    <t>Rotación Inv.</t>
  </si>
  <si>
    <t>Clientes Mes</t>
  </si>
  <si>
    <t>Segmento</t>
  </si>
  <si>
    <t>Cantidad</t>
  </si>
  <si>
    <t>No compradores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</si>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</sst>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dd/mm/yyyy"/>
  </numFmts>
  <fonts count="45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8"/>
      <color rgb="FFC9A84C"/>
      <name val="Arial"/>
      <family val="2"/>
    </font>
    <font>
      <b/>
      <sz val="11"/>
      <color rgb="FFFAFAFA"/>
      <name val="Arial"/>
      <family val="2"/>
    </font>
    <font>
      <b/>
      <sz val="10"/>
      <color rgb="FF1A1A2E"/>
      <name val="Arial"/>
      <family val="2"/>
    </font>
    <font>
      <sz val="10"/>
      <color rgb="FF0000FF"/>
      <name val="Arial"/>
      <family val="2"/>
    </font>
    <font>
      <b/>
      <sz val="10"/>
      <color rgb="FFFAFAFA"/>
      <name val="Arial"/>
      <family val="2"/>
    </font>
    <font>
      <sz val="10"/>
      <color rgb="FF1A1A2E"/>
      <name val="Arial"/>
      <family val="2"/>
    </font>
    <font>
      <i/>
      <sz val="10"/>
      <color rgb="FF6B6860"/>
      <name val="Arial"/>
      <family val="2"/>
    </font>
    <font>
      <sz val="10"/>
      <color rgb="FF000000"/>
      <name val="Arial"/>
      <family val="2"/>
    </font>
    <font>
      <b/>
      <sz val="14"/>
      <color rgb="FF0000FF"/>
      <name val="Arial"/>
      <family val="2"/>
    </font>
    <font>
      <sz val="9"/>
      <color rgb="FF1A1A2E"/>
      <name val="Arial"/>
      <family val="2"/>
    </font>
    <font>
      <b/>
      <sz val="14"/>
      <color rgb="FF000000"/>
      <name val="Arial"/>
      <family val="2"/>
    </font>
    <font>
      <b/>
      <sz val="14"/>
      <color rgb="FF2ECC71"/>
      <name val="Arial"/>
      <family val="2"/>
    </font>
    <font>
      <b/>
      <sz val="14"/>
      <color rgb="FFF39C12"/>
      <name val="Arial"/>
      <family val="2"/>
    </font>
    <font>
      <b/>
      <sz val="14"/>
      <color rgb="FFE74C3C"/>
      <name val="Arial"/>
      <family val="2"/>
    </font>
    <font>
      <b/>
      <sz val="16"/>
      <color rgb="FFC9A84C"/>
      <name val="Arial"/>
      <family val="2"/>
    </font>
    <font>
      <b/>
      <sz val="9"/>
      <color rgb="FF1A1A2E"/>
      <name val="Arial"/>
      <family val="2"/>
    </font>
    <font>
      <b/>
      <sz val="9"/>
      <color rgb="FFFAFAFA"/>
      <name val="Arial"/>
      <family val="2"/>
    </font>
    <font>
      <b/>
      <sz val="9"/>
      <color rgb="FFFFFFFF"/>
      <name val="Arial"/>
      <family val="2"/>
    </font>
    <font>
      <b/>
      <sz val="9"/>
      <color rgb="FF6B6860"/>
      <name val="Arial"/>
      <family val="2"/>
    </font>
    <font>
      <sz val="9"/>
      <color rgb="FF0000FF"/>
      <name val="Arial"/>
      <family val="2"/>
    </font>
    <font>
      <sz val="9"/>
      <color rgb="FF000000"/>
      <name val="Arial"/>
      <family val="2"/>
    </font>
    <font>
      <b/>
      <sz val="20"/>
      <color rgb="FFC8433B"/>
      <name val="Arial"/>
      <family val="2"/>
    </font>
    <font>
      <b/>
      <sz val="8"/>
      <color rgb="FF6B6860"/>
      <name val="Arial"/>
      <family val="2"/>
    </font>
    <font>
      <sz val="8"/>
      <color rgb="FF6B686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2"/>
      <color rgb="FFFAFAFA"/>
      <name val="Arial"/>
      <family val="2"/>
    </font>
    <font>
      <sz val="9"/>
      <color rgb="FF6B6860"/>
      <name val="Arial"/>
      <family val="2"/>
    </font>
    <font>
      <sz val="10"/>
      <color rgb="FF6B6860"/>
      <name val="Arial"/>
      <family val="2"/>
    </font>
    <font>
      <i/>
      <sz val="9"/>
      <color rgb="FF6B6860"/>
      <name val="Arial"/>
      <family val="2"/>
    </font>
    <font>
      <sz val="9"/>
      <name val="Arial"/>
      <family val="2"/>
    </font>
    <font>
      <sz val="11"/>
      <color rgb="FF006100"/>
      <name val="Calibri"/>
      <family val="2"/>
      <scheme val="minor"/>
    </font>
    <font>
      <sz val="11"/>
      <color theme="0" tint="-4.9989318521683403E-2"/>
      <name val="Calibri"/>
      <family val="2"/>
      <charset val="1"/>
    </font>
    <font>
      <b/>
      <sz val="20"/>
      <color theme="0" tint="-4.9989318521683403E-2"/>
      <name val="Arial"/>
      <family val="2"/>
    </font>
    <font>
      <b/>
      <sz val="22"/>
      <color theme="0" tint="-4.9989318521683403E-2"/>
      <name val="Arial"/>
      <family val="2"/>
    </font>
    <font>
      <b/>
      <sz val="15"/>
      <color theme="0" tint="-4.9989318521683403E-2"/>
      <name val="Arial"/>
      <family val="2"/>
    </font>
    <font>
      <b/>
      <sz val="11"/>
      <color theme="0" tint="-4.9989318521683403E-2"/>
      <name val="Arial"/>
      <family val="2"/>
    </font>
    <font>
      <b/>
      <sz val="9"/>
      <color theme="0" tint="-4.9989318521683403E-2"/>
      <name val="Arial"/>
      <family val="2"/>
    </font>
    <font>
      <b/>
      <sz val="36"/>
      <color theme="0" tint="-4.9989318521683403E-2"/>
      <name val="Arial"/>
      <family val="2"/>
    </font>
    <font>
      <b/>
      <sz val="18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1A1A2E"/>
        <bgColor rgb="FF16213E"/>
      </patternFill>
    </fill>
    <fill>
      <patternFill patternType="solid">
        <fgColor rgb="FFC8433B"/>
        <bgColor rgb="FFE74C3C"/>
      </patternFill>
    </fill>
    <fill>
      <patternFill patternType="solid">
        <fgColor rgb="FFFFFDE7"/>
        <bgColor rgb="FFFAFAFA"/>
      </patternFill>
    </fill>
    <fill>
      <patternFill patternType="solid">
        <fgColor rgb="FF16213E"/>
        <bgColor rgb="FF1A1A2E"/>
      </patternFill>
    </fill>
    <fill>
      <patternFill patternType="solid">
        <fgColor rgb="FF6B6860"/>
        <bgColor rgb="FF856404"/>
      </patternFill>
    </fill>
    <fill>
      <patternFill patternType="solid">
        <fgColor rgb="FFC9A84C"/>
        <bgColor rgb="FFF39C12"/>
      </patternFill>
    </fill>
    <fill>
      <patternFill patternType="solid">
        <fgColor rgb="FF2ECC71"/>
        <bgColor rgb="FF3498DB"/>
      </patternFill>
    </fill>
    <fill>
      <patternFill patternType="solid">
        <fgColor rgb="FFFAFAFA"/>
        <bgColor rgb="FFFFFFFF"/>
      </patternFill>
    </fill>
    <fill>
      <patternFill patternType="solid">
        <fgColor rgb="FFF0EEE9"/>
        <bgColor rgb="FFFAFAFA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00B050"/>
        <bgColor rgb="FF16213E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1A1A2E"/>
      </patternFill>
    </fill>
    <fill>
      <patternFill patternType="solid">
        <fgColor rgb="FF00B050"/>
        <bgColor rgb="FFE74C3C"/>
      </patternFill>
    </fill>
    <fill>
      <patternFill patternType="solid">
        <fgColor theme="9" tint="-0.249977111117893"/>
        <bgColor rgb="FF16213E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rgb="FF16213E"/>
      </patternFill>
    </fill>
  </fills>
  <borders count="4">
    <border>
      <left/>
      <right/>
      <top/>
      <bottom/>
      <diagonal/>
    </border>
    <border>
      <left style="thin">
        <color rgb="FFD4CFC4"/>
      </left>
      <right style="thin">
        <color rgb="FFD4CFC4"/>
      </right>
      <top style="thin">
        <color rgb="FFD4CFC4"/>
      </top>
      <bottom style="thin">
        <color rgb="FFD4CFC4"/>
      </bottom>
      <diagonal/>
    </border>
    <border>
      <left style="thin">
        <color rgb="FFD4CFC4"/>
      </left>
      <right/>
      <top style="thin">
        <color rgb="FFD4CFC4"/>
      </top>
      <bottom style="thin">
        <color rgb="FFD4CFC4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33" fillId="12" borderId="0" applyNumberFormat="0" applyBorder="0" applyAlignment="0" applyProtection="0"/>
    <xf numFmtId="0" fontId="1" fillId="0" borderId="0"/>
    <xf numFmtId="0" fontId="42" fillId="0" borderId="0" applyNumberFormat="0" applyFill="0" applyBorder="0" applyAlignment="0" applyProtection="0"/>
  </cellStyleXfs>
  <cellXfs count="137">
    <xf numFmtId="0" fontId="0" fillId="0" borderId="0" xfId="0"/>
    <xf numFmtId="0" fontId="0" fillId="0" borderId="0" xfId="0" applyAlignment="1"/>
    <xf numFmtId="0" fontId="4" fillId="0" borderId="1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0" fontId="7" fillId="0" borderId="1" xfId="0" applyFont="1" applyBorder="1" applyAlignment="1"/>
    <xf numFmtId="3" fontId="5" fillId="4" borderId="1" xfId="0" applyNumberFormat="1" applyFont="1" applyFill="1" applyBorder="1" applyAlignment="1"/>
    <xf numFmtId="3" fontId="8" fillId="0" borderId="1" xfId="0" applyNumberFormat="1" applyFont="1" applyBorder="1" applyAlignment="1"/>
    <xf numFmtId="0" fontId="7" fillId="0" borderId="1" xfId="0" applyFont="1" applyBorder="1" applyAlignment="1">
      <alignment horizontal="center" vertical="center"/>
    </xf>
    <xf numFmtId="164" fontId="5" fillId="4" borderId="1" xfId="0" applyNumberFormat="1" applyFont="1" applyFill="1" applyBorder="1" applyAlignment="1"/>
    <xf numFmtId="164" fontId="8" fillId="0" borderId="1" xfId="0" applyNumberFormat="1" applyFont="1" applyBorder="1" applyAlignment="1"/>
    <xf numFmtId="165" fontId="5" fillId="4" borderId="1" xfId="0" applyNumberFormat="1" applyFont="1" applyFill="1" applyBorder="1" applyAlignment="1"/>
    <xf numFmtId="165" fontId="8" fillId="0" borderId="1" xfId="0" applyNumberFormat="1" applyFont="1" applyBorder="1" applyAlignment="1"/>
    <xf numFmtId="164" fontId="9" fillId="0" borderId="1" xfId="0" applyNumberFormat="1" applyFont="1" applyBorder="1" applyAlignment="1"/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/>
    <xf numFmtId="0" fontId="11" fillId="0" borderId="0" xfId="0" applyFont="1" applyAlignment="1"/>
    <xf numFmtId="0" fontId="18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/>
    </xf>
    <xf numFmtId="166" fontId="11" fillId="9" borderId="1" xfId="0" applyNumberFormat="1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3" fontId="21" fillId="4" borderId="1" xfId="0" applyNumberFormat="1" applyFont="1" applyFill="1" applyBorder="1" applyAlignment="1">
      <alignment horizontal="right" vertical="center"/>
    </xf>
    <xf numFmtId="3" fontId="21" fillId="4" borderId="1" xfId="0" applyNumberFormat="1" applyFont="1" applyFill="1" applyBorder="1" applyAlignment="1">
      <alignment horizontal="center" vertical="center"/>
    </xf>
    <xf numFmtId="3" fontId="22" fillId="9" borderId="1" xfId="0" applyNumberFormat="1" applyFont="1" applyFill="1" applyBorder="1" applyAlignment="1">
      <alignment horizontal="right" vertical="center"/>
    </xf>
    <xf numFmtId="164" fontId="22" fillId="9" borderId="1" xfId="0" applyNumberFormat="1" applyFont="1" applyFill="1" applyBorder="1" applyAlignment="1">
      <alignment horizontal="center" vertical="center"/>
    </xf>
    <xf numFmtId="3" fontId="0" fillId="0" borderId="1" xfId="0" applyNumberFormat="1" applyBorder="1"/>
    <xf numFmtId="164" fontId="0" fillId="0" borderId="1" xfId="0" applyNumberFormat="1" applyBorder="1"/>
    <xf numFmtId="0" fontId="20" fillId="10" borderId="1" xfId="0" applyFont="1" applyFill="1" applyBorder="1" applyAlignment="1">
      <alignment horizontal="center" vertical="center"/>
    </xf>
    <xf numFmtId="166" fontId="11" fillId="10" borderId="1" xfId="0" applyNumberFormat="1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3" fontId="22" fillId="10" borderId="1" xfId="0" applyNumberFormat="1" applyFont="1" applyFill="1" applyBorder="1" applyAlignment="1">
      <alignment horizontal="right" vertical="center"/>
    </xf>
    <xf numFmtId="164" fontId="22" fillId="10" borderId="1" xfId="0" applyNumberFormat="1" applyFon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right"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/>
    <xf numFmtId="3" fontId="5" fillId="4" borderId="1" xfId="0" applyNumberFormat="1" applyFont="1" applyFill="1" applyBorder="1" applyAlignment="1">
      <alignment horizontal="center" vertical="center"/>
    </xf>
    <xf numFmtId="3" fontId="9" fillId="10" borderId="1" xfId="0" applyNumberFormat="1" applyFont="1" applyFill="1" applyBorder="1" applyAlignment="1">
      <alignment horizontal="center" vertical="center"/>
    </xf>
    <xf numFmtId="3" fontId="5" fillId="4" borderId="1" xfId="0" applyNumberFormat="1" applyFont="1" applyFill="1" applyBorder="1" applyAlignment="1">
      <alignment horizontal="right" vertical="center"/>
    </xf>
    <xf numFmtId="3" fontId="9" fillId="10" borderId="1" xfId="0" applyNumberFormat="1" applyFont="1" applyFill="1" applyBorder="1" applyAlignment="1">
      <alignment horizontal="right" vertical="center"/>
    </xf>
    <xf numFmtId="164" fontId="9" fillId="10" borderId="1" xfId="0" applyNumberFormat="1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/>
    <xf numFmtId="3" fontId="9" fillId="9" borderId="1" xfId="0" applyNumberFormat="1" applyFont="1" applyFill="1" applyBorder="1" applyAlignment="1">
      <alignment horizontal="center" vertical="center"/>
    </xf>
    <xf numFmtId="3" fontId="9" fillId="9" borderId="1" xfId="0" applyNumberFormat="1" applyFont="1" applyFill="1" applyBorder="1" applyAlignment="1">
      <alignment horizontal="right" vertical="center"/>
    </xf>
    <xf numFmtId="164" fontId="9" fillId="9" borderId="1" xfId="0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/>
    </xf>
    <xf numFmtId="3" fontId="7" fillId="9" borderId="1" xfId="0" applyNumberFormat="1" applyFont="1" applyFill="1" applyBorder="1" applyAlignment="1">
      <alignment horizontal="right" vertical="center"/>
    </xf>
    <xf numFmtId="3" fontId="7" fillId="10" borderId="1" xfId="0" applyNumberFormat="1" applyFont="1" applyFill="1" applyBorder="1" applyAlignment="1">
      <alignment horizontal="right" vertical="center"/>
    </xf>
    <xf numFmtId="0" fontId="0" fillId="2" borderId="0" xfId="0" applyFill="1" applyAlignment="1"/>
    <xf numFmtId="0" fontId="0" fillId="3" borderId="0" xfId="0" applyFill="1" applyAlignment="1"/>
    <xf numFmtId="0" fontId="24" fillId="10" borderId="1" xfId="0" applyFont="1" applyFill="1" applyBorder="1" applyAlignment="1">
      <alignment horizontal="right" vertical="center"/>
    </xf>
    <xf numFmtId="3" fontId="25" fillId="10" borderId="1" xfId="0" applyNumberFormat="1" applyFont="1" applyFill="1" applyBorder="1" applyAlignment="1">
      <alignment horizontal="left" vertical="center"/>
    </xf>
    <xf numFmtId="164" fontId="25" fillId="10" borderId="1" xfId="0" applyNumberFormat="1" applyFont="1" applyFill="1" applyBorder="1" applyAlignment="1">
      <alignment horizontal="left" vertical="center"/>
    </xf>
    <xf numFmtId="0" fontId="17" fillId="10" borderId="1" xfId="0" applyFont="1" applyFill="1" applyBorder="1" applyAlignment="1">
      <alignment horizontal="center" vertical="center"/>
    </xf>
    <xf numFmtId="3" fontId="11" fillId="10" borderId="1" xfId="0" applyNumberFormat="1" applyFont="1" applyFill="1" applyBorder="1" applyAlignment="1">
      <alignment horizontal="right" vertical="center"/>
    </xf>
    <xf numFmtId="3" fontId="17" fillId="10" borderId="1" xfId="0" applyNumberFormat="1" applyFont="1" applyFill="1" applyBorder="1" applyAlignment="1">
      <alignment horizontal="right" vertical="center"/>
    </xf>
    <xf numFmtId="3" fontId="29" fillId="10" borderId="1" xfId="0" applyNumberFormat="1" applyFont="1" applyFill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3" fontId="11" fillId="9" borderId="1" xfId="0" applyNumberFormat="1" applyFont="1" applyFill="1" applyBorder="1" applyAlignment="1">
      <alignment horizontal="right" vertical="center"/>
    </xf>
    <xf numFmtId="3" fontId="17" fillId="9" borderId="1" xfId="0" applyNumberFormat="1" applyFont="1" applyFill="1" applyBorder="1" applyAlignment="1">
      <alignment horizontal="right" vertical="center"/>
    </xf>
    <xf numFmtId="3" fontId="29" fillId="9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/>
    <xf numFmtId="3" fontId="4" fillId="9" borderId="1" xfId="0" applyNumberFormat="1" applyFont="1" applyFill="1" applyBorder="1" applyAlignment="1">
      <alignment horizontal="right" vertical="center"/>
    </xf>
    <xf numFmtId="3" fontId="30" fillId="9" borderId="1" xfId="0" applyNumberFormat="1" applyFont="1" applyFill="1" applyBorder="1" applyAlignment="1">
      <alignment horizontal="right" vertical="center"/>
    </xf>
    <xf numFmtId="164" fontId="4" fillId="9" borderId="1" xfId="0" applyNumberFormat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1" fillId="9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/>
    <xf numFmtId="3" fontId="4" fillId="10" borderId="1" xfId="0" applyNumberFormat="1" applyFont="1" applyFill="1" applyBorder="1" applyAlignment="1">
      <alignment horizontal="right" vertical="center"/>
    </xf>
    <xf numFmtId="3" fontId="30" fillId="10" borderId="1" xfId="0" applyNumberFormat="1" applyFont="1" applyFill="1" applyBorder="1" applyAlignment="1">
      <alignment horizontal="right" vertical="center"/>
    </xf>
    <xf numFmtId="164" fontId="4" fillId="10" borderId="1" xfId="0" applyNumberFormat="1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left" vertical="center" wrapText="1"/>
    </xf>
    <xf numFmtId="164" fontId="4" fillId="9" borderId="1" xfId="0" applyNumberFormat="1" applyFont="1" applyFill="1" applyBorder="1" applyAlignment="1">
      <alignment horizontal="right" vertical="center"/>
    </xf>
    <xf numFmtId="164" fontId="30" fillId="9" borderId="1" xfId="0" applyNumberFormat="1" applyFont="1" applyFill="1" applyBorder="1" applyAlignment="1">
      <alignment horizontal="right" vertical="center"/>
    </xf>
    <xf numFmtId="164" fontId="7" fillId="9" borderId="1" xfId="0" applyNumberFormat="1" applyFont="1" applyFill="1" applyBorder="1" applyAlignment="1">
      <alignment horizontal="right" vertical="center"/>
    </xf>
    <xf numFmtId="164" fontId="4" fillId="10" borderId="1" xfId="0" applyNumberFormat="1" applyFont="1" applyFill="1" applyBorder="1" applyAlignment="1">
      <alignment horizontal="right" vertical="center"/>
    </xf>
    <xf numFmtId="164" fontId="30" fillId="10" borderId="1" xfId="0" applyNumberFormat="1" applyFont="1" applyFill="1" applyBorder="1" applyAlignment="1">
      <alignment horizontal="right" vertical="center"/>
    </xf>
    <xf numFmtId="164" fontId="7" fillId="10" borderId="1" xfId="0" applyNumberFormat="1" applyFont="1" applyFill="1" applyBorder="1" applyAlignment="1">
      <alignment horizontal="right" vertical="center"/>
    </xf>
    <xf numFmtId="0" fontId="32" fillId="0" borderId="0" xfId="0" applyFont="1"/>
    <xf numFmtId="164" fontId="0" fillId="0" borderId="0" xfId="0" applyNumberFormat="1"/>
    <xf numFmtId="3" fontId="0" fillId="0" borderId="0" xfId="0" applyNumberFormat="1"/>
    <xf numFmtId="0" fontId="0" fillId="11" borderId="0" xfId="0" applyFill="1" applyAlignment="1"/>
    <xf numFmtId="0" fontId="0" fillId="11" borderId="0" xfId="0" applyFill="1"/>
    <xf numFmtId="0" fontId="0" fillId="14" borderId="0" xfId="0" applyFill="1"/>
    <xf numFmtId="0" fontId="34" fillId="14" borderId="0" xfId="0" applyFont="1" applyFill="1"/>
    <xf numFmtId="3" fontId="6" fillId="13" borderId="1" xfId="0" applyNumberFormat="1" applyFont="1" applyFill="1" applyBorder="1" applyAlignment="1">
      <alignment horizontal="right" vertical="center"/>
    </xf>
    <xf numFmtId="164" fontId="6" fillId="13" borderId="1" xfId="0" applyNumberFormat="1" applyFont="1" applyFill="1" applyBorder="1" applyAlignment="1">
      <alignment horizontal="center" vertical="center"/>
    </xf>
    <xf numFmtId="0" fontId="33" fillId="12" borderId="1" xfId="1" applyBorder="1" applyAlignment="1">
      <alignment horizontal="center" vertical="center" wrapText="1"/>
    </xf>
    <xf numFmtId="0" fontId="34" fillId="14" borderId="0" xfId="0" applyFont="1" applyFill="1" applyAlignment="1"/>
    <xf numFmtId="0" fontId="33" fillId="12" borderId="0" xfId="1" applyAlignment="1"/>
    <xf numFmtId="0" fontId="33" fillId="12" borderId="0" xfId="1"/>
    <xf numFmtId="0" fontId="39" fillId="13" borderId="1" xfId="0" applyFont="1" applyFill="1" applyBorder="1" applyAlignment="1">
      <alignment horizontal="center" vertical="center" wrapText="1"/>
    </xf>
    <xf numFmtId="0" fontId="16" fillId="17" borderId="0" xfId="0" applyFont="1" applyFill="1" applyBorder="1" applyAlignment="1">
      <alignment vertical="center"/>
    </xf>
    <xf numFmtId="0" fontId="0" fillId="18" borderId="0" xfId="0" applyFill="1"/>
    <xf numFmtId="0" fontId="0" fillId="18" borderId="0" xfId="0" applyFill="1" applyAlignment="1"/>
    <xf numFmtId="0" fontId="2" fillId="2" borderId="0" xfId="0" applyFont="1" applyFill="1" applyBorder="1" applyAlignment="1">
      <alignment vertical="center"/>
    </xf>
    <xf numFmtId="0" fontId="2" fillId="19" borderId="0" xfId="0" applyFont="1" applyFill="1" applyBorder="1" applyAlignment="1">
      <alignment vertical="center"/>
    </xf>
    <xf numFmtId="0" fontId="1" fillId="0" borderId="0" xfId="2"/>
    <xf numFmtId="0" fontId="43" fillId="0" borderId="0" xfId="3" applyFont="1"/>
    <xf numFmtId="0" fontId="44" fillId="0" borderId="3" xfId="2" applyFont="1" applyBorder="1" applyAlignment="1">
      <alignment horizontal="left" vertical="center" wrapText="1" indent="2"/>
    </xf>
    <xf numFmtId="0" fontId="11" fillId="0" borderId="0" xfId="0" applyFont="1" applyBorder="1" applyAlignment="1"/>
    <xf numFmtId="0" fontId="3" fillId="3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1" fillId="13" borderId="0" xfId="0" applyFont="1" applyFill="1" applyBorder="1" applyAlignment="1">
      <alignment horizontal="center" vertical="center"/>
    </xf>
    <xf numFmtId="0" fontId="6" fillId="13" borderId="0" xfId="0" applyFont="1" applyFill="1" applyBorder="1" applyAlignment="1">
      <alignment horizontal="center" vertical="center"/>
    </xf>
    <xf numFmtId="0" fontId="40" fillId="17" borderId="0" xfId="0" applyFont="1" applyFill="1" applyBorder="1" applyAlignment="1">
      <alignment horizontal="center" vertical="center"/>
    </xf>
    <xf numFmtId="0" fontId="36" fillId="13" borderId="0" xfId="0" applyFont="1" applyFill="1" applyBorder="1" applyAlignment="1">
      <alignment horizontal="center" vertical="center"/>
    </xf>
    <xf numFmtId="0" fontId="37" fillId="15" borderId="0" xfId="0" applyFont="1" applyFill="1" applyBorder="1" applyAlignment="1">
      <alignment horizontal="center" vertical="center"/>
    </xf>
    <xf numFmtId="0" fontId="38" fillId="16" borderId="0" xfId="0" applyFont="1" applyFill="1" applyBorder="1" applyAlignment="1">
      <alignment horizontal="center" vertical="center"/>
    </xf>
    <xf numFmtId="0" fontId="36" fillId="15" borderId="0" xfId="0" applyFont="1" applyFill="1" applyBorder="1" applyAlignment="1">
      <alignment horizontal="center" vertical="center"/>
    </xf>
    <xf numFmtId="0" fontId="27" fillId="10" borderId="1" xfId="0" applyFont="1" applyFill="1" applyBorder="1" applyAlignment="1">
      <alignment horizontal="center" vertical="center"/>
    </xf>
    <xf numFmtId="0" fontId="35" fillId="15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8" fillId="3" borderId="0" xfId="0" applyFont="1" applyFill="1" applyBorder="1" applyAlignment="1">
      <alignment horizontal="center" vertical="center"/>
    </xf>
    <xf numFmtId="0" fontId="31" fillId="10" borderId="0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3" fontId="23" fillId="9" borderId="1" xfId="0" applyNumberFormat="1" applyFont="1" applyFill="1" applyBorder="1" applyAlignment="1">
      <alignment horizontal="center" vertical="center"/>
    </xf>
    <xf numFmtId="164" fontId="26" fillId="10" borderId="1" xfId="0" applyNumberFormat="1" applyFont="1" applyFill="1" applyBorder="1" applyAlignment="1">
      <alignment horizontal="center" vertical="center"/>
    </xf>
    <xf numFmtId="164" fontId="23" fillId="9" borderId="1" xfId="0" applyNumberFormat="1" applyFont="1" applyFill="1" applyBorder="1" applyAlignment="1">
      <alignment horizontal="center" vertical="center"/>
    </xf>
  </cellXfs>
  <cellStyles count="4">
    <cellStyle name="Good" xfId="1" builtinId="26"/>
    <cellStyle name="Hipervínculo 2" xfId="3"/>
    <cellStyle name="Normal" xfId="0" builtinId="0"/>
    <cellStyle name="Normal 2 2 2" xfId="2"/>
  </cellStyles>
  <dxfs count="33">
    <dxf>
      <font>
        <b/>
        <color rgb="FFB71C1C"/>
      </font>
      <fill>
        <patternFill>
          <bgColor rgb="FFFFCDD2"/>
        </patternFill>
      </fill>
    </dxf>
    <dxf>
      <font>
        <b/>
        <color rgb="FF856404"/>
      </font>
      <fill>
        <patternFill>
          <bgColor rgb="FFFFF3CD"/>
        </patternFill>
      </fill>
    </dxf>
    <dxf>
      <font>
        <b/>
        <color rgb="FF1A5C2A"/>
      </font>
      <fill>
        <patternFill>
          <bgColor rgb="FFC8F7C5"/>
        </patternFill>
      </fill>
    </dxf>
    <dxf>
      <font>
        <b/>
        <color rgb="FFB71C1C"/>
      </font>
      <fill>
        <patternFill>
          <bgColor rgb="FFFFCDD2"/>
        </patternFill>
      </fill>
    </dxf>
    <dxf>
      <font>
        <b/>
        <color rgb="FF856404"/>
      </font>
      <fill>
        <patternFill>
          <bgColor rgb="FFFFF3CD"/>
        </patternFill>
      </fill>
    </dxf>
    <dxf>
      <font>
        <b/>
        <color rgb="FF1A5C2A"/>
      </font>
      <fill>
        <patternFill>
          <bgColor rgb="FFC8F7C5"/>
        </patternFill>
      </fill>
    </dxf>
    <dxf>
      <font>
        <b/>
        <sz val="12"/>
        <color rgb="FFB71C1C"/>
      </font>
      <fill>
        <patternFill>
          <bgColor rgb="FFFFCDD2"/>
        </patternFill>
      </fill>
    </dxf>
    <dxf>
      <font>
        <b/>
        <sz val="12"/>
        <color rgb="FF856404"/>
      </font>
      <fill>
        <patternFill>
          <bgColor rgb="FFFFF3CD"/>
        </patternFill>
      </fill>
    </dxf>
    <dxf>
      <font>
        <b/>
        <sz val="12"/>
        <color rgb="FF1A5C2A"/>
      </font>
      <fill>
        <patternFill>
          <bgColor rgb="FFC8F7C5"/>
        </patternFill>
      </fill>
    </dxf>
    <dxf>
      <font>
        <b/>
        <sz val="12"/>
        <color rgb="FFB71C1C"/>
      </font>
      <fill>
        <patternFill>
          <bgColor rgb="FFFFCDD2"/>
        </patternFill>
      </fill>
    </dxf>
    <dxf>
      <font>
        <b/>
        <sz val="12"/>
        <color rgb="FF856404"/>
      </font>
      <fill>
        <patternFill>
          <bgColor rgb="FFFFF3CD"/>
        </patternFill>
      </fill>
    </dxf>
    <dxf>
      <font>
        <b/>
        <sz val="12"/>
        <color rgb="FF1A5C2A"/>
      </font>
      <fill>
        <patternFill>
          <bgColor rgb="FFC8F7C5"/>
        </patternFill>
      </fill>
    </dxf>
    <dxf>
      <font>
        <b/>
        <sz val="12"/>
        <color rgb="FFB71C1C"/>
      </font>
      <fill>
        <patternFill>
          <bgColor rgb="FFFFCDD2"/>
        </patternFill>
      </fill>
    </dxf>
    <dxf>
      <font>
        <b/>
        <sz val="12"/>
        <color rgb="FF856404"/>
      </font>
      <fill>
        <patternFill>
          <bgColor rgb="FFFFF3CD"/>
        </patternFill>
      </fill>
    </dxf>
    <dxf>
      <font>
        <b/>
        <sz val="12"/>
        <color rgb="FF1A5C2A"/>
      </font>
      <fill>
        <patternFill>
          <bgColor rgb="FFC8F7C5"/>
        </patternFill>
      </fill>
    </dxf>
    <dxf>
      <font>
        <b/>
        <sz val="12"/>
        <color rgb="FFB71C1C"/>
      </font>
      <fill>
        <patternFill>
          <bgColor rgb="FFFFCDD2"/>
        </patternFill>
      </fill>
    </dxf>
    <dxf>
      <font>
        <b/>
        <sz val="12"/>
        <color rgb="FF856404"/>
      </font>
      <fill>
        <patternFill>
          <bgColor rgb="FFFFF3CD"/>
        </patternFill>
      </fill>
    </dxf>
    <dxf>
      <font>
        <b/>
        <sz val="12"/>
        <color rgb="FF1A5C2A"/>
      </font>
      <fill>
        <patternFill>
          <bgColor rgb="FFC8F7C5"/>
        </patternFill>
      </fill>
    </dxf>
    <dxf>
      <font>
        <b/>
        <sz val="12"/>
        <color rgb="FFB71C1C"/>
      </font>
      <fill>
        <patternFill>
          <bgColor rgb="FFFFCDD2"/>
        </patternFill>
      </fill>
    </dxf>
    <dxf>
      <font>
        <b/>
        <sz val="12"/>
        <color rgb="FF856404"/>
      </font>
      <fill>
        <patternFill>
          <bgColor rgb="FFFFF3CD"/>
        </patternFill>
      </fill>
    </dxf>
    <dxf>
      <font>
        <b/>
        <sz val="12"/>
        <color rgb="FF1A5C2A"/>
      </font>
      <fill>
        <patternFill>
          <bgColor rgb="FFC8F7C5"/>
        </patternFill>
      </fill>
    </dxf>
    <dxf>
      <font>
        <b/>
        <sz val="12"/>
        <color rgb="FFB71C1C"/>
      </font>
      <fill>
        <patternFill>
          <bgColor rgb="FFFFCDD2"/>
        </patternFill>
      </fill>
    </dxf>
    <dxf>
      <font>
        <b/>
        <sz val="12"/>
        <color rgb="FF856404"/>
      </font>
      <fill>
        <patternFill>
          <bgColor rgb="FFFFF3CD"/>
        </patternFill>
      </fill>
    </dxf>
    <dxf>
      <font>
        <b/>
        <sz val="12"/>
        <color rgb="FF1A5C2A"/>
      </font>
      <fill>
        <patternFill>
          <bgColor rgb="FFC8F7C5"/>
        </patternFill>
      </fill>
    </dxf>
    <dxf>
      <font>
        <color rgb="FF1A5C2A"/>
      </font>
      <fill>
        <patternFill>
          <bgColor rgb="FFC8F7C5"/>
        </patternFill>
      </fill>
    </dxf>
    <dxf>
      <font>
        <color rgb="FF856404"/>
      </font>
      <fill>
        <patternFill>
          <bgColor rgb="FFFFF3CD"/>
        </patternFill>
      </fill>
    </dxf>
    <dxf>
      <font>
        <color rgb="FFB71C1C"/>
      </font>
      <fill>
        <patternFill>
          <bgColor rgb="FFFFCDD2"/>
        </patternFill>
      </fill>
    </dxf>
    <dxf>
      <font>
        <color rgb="FFB71C1C"/>
      </font>
      <fill>
        <patternFill>
          <bgColor rgb="FFFFCDD2"/>
        </patternFill>
      </fill>
    </dxf>
    <dxf>
      <font>
        <color rgb="FF856404"/>
      </font>
      <fill>
        <patternFill>
          <bgColor rgb="FFFFF3CD"/>
        </patternFill>
      </fill>
    </dxf>
    <dxf>
      <font>
        <color rgb="FF1A5C2A"/>
      </font>
      <fill>
        <patternFill>
          <bgColor rgb="FFC8F7C5"/>
        </patternFill>
      </fill>
    </dxf>
    <dxf>
      <font>
        <color rgb="FFB71C1C"/>
      </font>
      <fill>
        <patternFill>
          <bgColor rgb="FFFFCDD2"/>
        </patternFill>
      </fill>
    </dxf>
    <dxf>
      <font>
        <color rgb="FF856404"/>
      </font>
      <fill>
        <patternFill>
          <bgColor rgb="FFFFF3CD"/>
        </patternFill>
      </fill>
    </dxf>
    <dxf>
      <font>
        <color rgb="FF1A5C2A"/>
      </font>
      <fill>
        <patternFill>
          <bgColor rgb="FFC8F7C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5C2A"/>
      <rgbColor rgb="FF000080"/>
      <rgbColor rgb="FF856404"/>
      <rgbColor rgb="FF800080"/>
      <rgbColor rgb="FF008080"/>
      <rgbColor rgb="FFB3B3B3"/>
      <rgbColor rgb="FF4F81BD"/>
      <rgbColor rgb="FF9999FF"/>
      <rgbColor rgb="FFC8433B"/>
      <rgbColor rgb="FFFFFDE7"/>
      <rgbColor rgb="FFF0EEE9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AFAFA"/>
      <rgbColor rgb="FFC8F7C5"/>
      <rgbColor rgb="FFFFF3CD"/>
      <rgbColor rgb="FFD4CFC4"/>
      <rgbColor rgb="FFFF99CC"/>
      <rgbColor rgb="FFCC99FF"/>
      <rgbColor rgb="FFFFCDD2"/>
      <rgbColor rgb="FF3366FF"/>
      <rgbColor rgb="FF2ECC71"/>
      <rgbColor rgb="FFC9A84C"/>
      <rgbColor rgb="FFFFCC00"/>
      <rgbColor rgb="FFF39C12"/>
      <rgbColor rgb="FFE74C3C"/>
      <rgbColor rgb="FF6B6860"/>
      <rgbColor rgb="FFAAAAAA"/>
      <rgbColor rgb="FF003366"/>
      <rgbColor rgb="FF3498DB"/>
      <rgbColor rgb="FF003300"/>
      <rgbColor rgb="FF1A1A2E"/>
      <rgbColor rgb="FFB71C1C"/>
      <rgbColor rgb="FF993366"/>
      <rgbColor rgb="FF333399"/>
      <rgbColor rgb="FF16213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Ventas Diarias vs. Meta Diaria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'📅 Datos Diarios'!$E$7</c:f>
              <c:strCache>
                <c:ptCount val="1"/>
                <c:pt idx="0">
                  <c:v>Ventas del Día
(DOP $)</c:v>
                </c:pt>
              </c:strCache>
            </c:strRef>
          </c:tx>
          <c:spPr>
            <a:solidFill>
              <a:srgbClr val="C8433B"/>
            </a:solidFill>
            <a:ln w="9360">
              <a:solidFill>
                <a:srgbClr val="C8433B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Diarios'!$E$8:$E$33</c:f>
              <c:numCache>
                <c:formatCode>#,##0</c:formatCode>
                <c:ptCount val="26"/>
                <c:pt idx="0">
                  <c:v>18500</c:v>
                </c:pt>
                <c:pt idx="1">
                  <c:v>22000</c:v>
                </c:pt>
                <c:pt idx="2">
                  <c:v>19800</c:v>
                </c:pt>
                <c:pt idx="3">
                  <c:v>24500</c:v>
                </c:pt>
                <c:pt idx="4">
                  <c:v>31000</c:v>
                </c:pt>
                <c:pt idx="5">
                  <c:v>28000</c:v>
                </c:pt>
                <c:pt idx="6">
                  <c:v>17000</c:v>
                </c:pt>
                <c:pt idx="7">
                  <c:v>20500</c:v>
                </c:pt>
                <c:pt idx="8">
                  <c:v>23000</c:v>
                </c:pt>
                <c:pt idx="9">
                  <c:v>25500</c:v>
                </c:pt>
                <c:pt idx="10">
                  <c:v>30000</c:v>
                </c:pt>
                <c:pt idx="11">
                  <c:v>27500</c:v>
                </c:pt>
                <c:pt idx="12">
                  <c:v>16500</c:v>
                </c:pt>
                <c:pt idx="13">
                  <c:v>21000</c:v>
                </c:pt>
                <c:pt idx="14">
                  <c:v>22500</c:v>
                </c:pt>
                <c:pt idx="15">
                  <c:v>26000</c:v>
                </c:pt>
                <c:pt idx="16">
                  <c:v>32000</c:v>
                </c:pt>
                <c:pt idx="17">
                  <c:v>29000</c:v>
                </c:pt>
                <c:pt idx="18">
                  <c:v>18000</c:v>
                </c:pt>
                <c:pt idx="19">
                  <c:v>23500</c:v>
                </c:pt>
                <c:pt idx="20">
                  <c:v>21000</c:v>
                </c:pt>
                <c:pt idx="21">
                  <c:v>27000</c:v>
                </c:pt>
                <c:pt idx="22">
                  <c:v>33000</c:v>
                </c:pt>
                <c:pt idx="23">
                  <c:v>30500</c:v>
                </c:pt>
                <c:pt idx="24">
                  <c:v>19000</c:v>
                </c:pt>
                <c:pt idx="25">
                  <c:v>24000</c:v>
                </c:pt>
              </c:numCache>
            </c:numRef>
          </c:val>
        </c:ser>
        <c:ser>
          <c:idx val="1"/>
          <c:order val="1"/>
          <c:tx>
            <c:strRef>
              <c:f>'📅 Datos Diarios'!$M$7</c:f>
              <c:strCache>
                <c:ptCount val="1"/>
                <c:pt idx="0">
                  <c:v>Meta Diaria</c:v>
                </c:pt>
              </c:strCache>
            </c:strRef>
          </c:tx>
          <c:spPr>
            <a:solidFill>
              <a:srgbClr val="C9A84C"/>
            </a:solidFill>
            <a:ln w="9360">
              <a:solidFill>
                <a:srgbClr val="C9A84C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Diarios'!$M$8:$M$33</c:f>
              <c:numCache>
                <c:formatCode>#,##0</c:formatCode>
                <c:ptCount val="26"/>
                <c:pt idx="0">
                  <c:v>19230.76923076923</c:v>
                </c:pt>
                <c:pt idx="1">
                  <c:v>19230.76923076923</c:v>
                </c:pt>
                <c:pt idx="2">
                  <c:v>19230.76923076923</c:v>
                </c:pt>
                <c:pt idx="3">
                  <c:v>19230.76923076923</c:v>
                </c:pt>
                <c:pt idx="4">
                  <c:v>19230.76923076923</c:v>
                </c:pt>
                <c:pt idx="5">
                  <c:v>19230.76923076923</c:v>
                </c:pt>
                <c:pt idx="6">
                  <c:v>19230.76923076923</c:v>
                </c:pt>
                <c:pt idx="7">
                  <c:v>19230.76923076923</c:v>
                </c:pt>
                <c:pt idx="8">
                  <c:v>19230.76923076923</c:v>
                </c:pt>
                <c:pt idx="9">
                  <c:v>19230.76923076923</c:v>
                </c:pt>
                <c:pt idx="10">
                  <c:v>19230.76923076923</c:v>
                </c:pt>
                <c:pt idx="11">
                  <c:v>19230.76923076923</c:v>
                </c:pt>
                <c:pt idx="12">
                  <c:v>19230.76923076923</c:v>
                </c:pt>
                <c:pt idx="13">
                  <c:v>19230.76923076923</c:v>
                </c:pt>
                <c:pt idx="14">
                  <c:v>19230.76923076923</c:v>
                </c:pt>
                <c:pt idx="15">
                  <c:v>19230.76923076923</c:v>
                </c:pt>
                <c:pt idx="16">
                  <c:v>19230.76923076923</c:v>
                </c:pt>
                <c:pt idx="17">
                  <c:v>19230.76923076923</c:v>
                </c:pt>
                <c:pt idx="18">
                  <c:v>19230.76923076923</c:v>
                </c:pt>
                <c:pt idx="19">
                  <c:v>19230.76923076923</c:v>
                </c:pt>
                <c:pt idx="20">
                  <c:v>19230.76923076923</c:v>
                </c:pt>
                <c:pt idx="21">
                  <c:v>19230.76923076923</c:v>
                </c:pt>
                <c:pt idx="22">
                  <c:v>19230.76923076923</c:v>
                </c:pt>
                <c:pt idx="23">
                  <c:v>19230.76923076923</c:v>
                </c:pt>
                <c:pt idx="24">
                  <c:v>19230.76923076923</c:v>
                </c:pt>
                <c:pt idx="25">
                  <c:v>19230.76923076923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490240"/>
        <c:axId val="160492160"/>
      </c:barChart>
      <c:catAx>
        <c:axId val="16049024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Día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0492160"/>
        <c:crosses val="autoZero"/>
        <c:auto val="1"/>
        <c:lblAlgn val="ctr"/>
        <c:lblOffset val="100"/>
        <c:noMultiLvlLbl val="0"/>
      </c:catAx>
      <c:valAx>
        <c:axId val="160492160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DOP $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0490240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Tendencia de Ventas Diarias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'📅 Datos Diarios'!$E$7</c:f>
              <c:strCache>
                <c:ptCount val="1"/>
                <c:pt idx="0">
                  <c:v>Ventas del Día
(DOP $)</c:v>
                </c:pt>
              </c:strCache>
            </c:strRef>
          </c:tx>
          <c:spPr>
            <a:ln w="24840">
              <a:solidFill>
                <a:srgbClr val="C8433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Diarios'!$E$8:$E$33</c:f>
              <c:numCache>
                <c:formatCode>#,##0</c:formatCode>
                <c:ptCount val="26"/>
                <c:pt idx="0">
                  <c:v>18500</c:v>
                </c:pt>
                <c:pt idx="1">
                  <c:v>22000</c:v>
                </c:pt>
                <c:pt idx="2">
                  <c:v>19800</c:v>
                </c:pt>
                <c:pt idx="3">
                  <c:v>24500</c:v>
                </c:pt>
                <c:pt idx="4">
                  <c:v>31000</c:v>
                </c:pt>
                <c:pt idx="5">
                  <c:v>28000</c:v>
                </c:pt>
                <c:pt idx="6">
                  <c:v>17000</c:v>
                </c:pt>
                <c:pt idx="7">
                  <c:v>20500</c:v>
                </c:pt>
                <c:pt idx="8">
                  <c:v>23000</c:v>
                </c:pt>
                <c:pt idx="9">
                  <c:v>25500</c:v>
                </c:pt>
                <c:pt idx="10">
                  <c:v>30000</c:v>
                </c:pt>
                <c:pt idx="11">
                  <c:v>27500</c:v>
                </c:pt>
                <c:pt idx="12">
                  <c:v>16500</c:v>
                </c:pt>
                <c:pt idx="13">
                  <c:v>21000</c:v>
                </c:pt>
                <c:pt idx="14">
                  <c:v>22500</c:v>
                </c:pt>
                <c:pt idx="15">
                  <c:v>26000</c:v>
                </c:pt>
                <c:pt idx="16">
                  <c:v>32000</c:v>
                </c:pt>
                <c:pt idx="17">
                  <c:v>29000</c:v>
                </c:pt>
                <c:pt idx="18">
                  <c:v>18000</c:v>
                </c:pt>
                <c:pt idx="19">
                  <c:v>23500</c:v>
                </c:pt>
                <c:pt idx="20">
                  <c:v>21000</c:v>
                </c:pt>
                <c:pt idx="21">
                  <c:v>27000</c:v>
                </c:pt>
                <c:pt idx="22">
                  <c:v>33000</c:v>
                </c:pt>
                <c:pt idx="23">
                  <c:v>30500</c:v>
                </c:pt>
                <c:pt idx="24">
                  <c:v>19000</c:v>
                </c:pt>
                <c:pt idx="25">
                  <c:v>24000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'📅 Datos Diarios'!$M$7</c:f>
              <c:strCache>
                <c:ptCount val="1"/>
                <c:pt idx="0">
                  <c:v>Meta Diaria</c:v>
                </c:pt>
              </c:strCache>
            </c:strRef>
          </c:tx>
          <c:spPr>
            <a:ln w="47520">
              <a:solidFill>
                <a:srgbClr val="C9A84C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Diarios'!$M$8:$M$33</c:f>
              <c:numCache>
                <c:formatCode>#,##0</c:formatCode>
                <c:ptCount val="26"/>
                <c:pt idx="0">
                  <c:v>19230.76923076923</c:v>
                </c:pt>
                <c:pt idx="1">
                  <c:v>19230.76923076923</c:v>
                </c:pt>
                <c:pt idx="2">
                  <c:v>19230.76923076923</c:v>
                </c:pt>
                <c:pt idx="3">
                  <c:v>19230.76923076923</c:v>
                </c:pt>
                <c:pt idx="4">
                  <c:v>19230.76923076923</c:v>
                </c:pt>
                <c:pt idx="5">
                  <c:v>19230.76923076923</c:v>
                </c:pt>
                <c:pt idx="6">
                  <c:v>19230.76923076923</c:v>
                </c:pt>
                <c:pt idx="7">
                  <c:v>19230.76923076923</c:v>
                </c:pt>
                <c:pt idx="8">
                  <c:v>19230.76923076923</c:v>
                </c:pt>
                <c:pt idx="9">
                  <c:v>19230.76923076923</c:v>
                </c:pt>
                <c:pt idx="10">
                  <c:v>19230.76923076923</c:v>
                </c:pt>
                <c:pt idx="11">
                  <c:v>19230.76923076923</c:v>
                </c:pt>
                <c:pt idx="12">
                  <c:v>19230.76923076923</c:v>
                </c:pt>
                <c:pt idx="13">
                  <c:v>19230.76923076923</c:v>
                </c:pt>
                <c:pt idx="14">
                  <c:v>19230.76923076923</c:v>
                </c:pt>
                <c:pt idx="15">
                  <c:v>19230.76923076923</c:v>
                </c:pt>
                <c:pt idx="16">
                  <c:v>19230.76923076923</c:v>
                </c:pt>
                <c:pt idx="17">
                  <c:v>19230.76923076923</c:v>
                </c:pt>
                <c:pt idx="18">
                  <c:v>19230.76923076923</c:v>
                </c:pt>
                <c:pt idx="19">
                  <c:v>19230.76923076923</c:v>
                </c:pt>
                <c:pt idx="20">
                  <c:v>19230.76923076923</c:v>
                </c:pt>
                <c:pt idx="21">
                  <c:v>19230.76923076923</c:v>
                </c:pt>
                <c:pt idx="22">
                  <c:v>19230.76923076923</c:v>
                </c:pt>
                <c:pt idx="23">
                  <c:v>19230.76923076923</c:v>
                </c:pt>
                <c:pt idx="24">
                  <c:v>19230.76923076923</c:v>
                </c:pt>
                <c:pt idx="25">
                  <c:v>19230.76923076923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160627712"/>
        <c:axId val="163944320"/>
      </c:lineChart>
      <c:catAx>
        <c:axId val="16062771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Día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3944320"/>
        <c:crosses val="autoZero"/>
        <c:auto val="1"/>
        <c:lblAlgn val="ctr"/>
        <c:lblOffset val="100"/>
        <c:noMultiLvlLbl val="0"/>
      </c:catAx>
      <c:valAx>
        <c:axId val="163944320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DOP $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0627712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Margen Bruto % por Día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'📅 Datos Diarios'!$K$7</c:f>
              <c:strCache>
                <c:ptCount val="1"/>
                <c:pt idx="0">
                  <c:v>Margen
Bruto %</c:v>
                </c:pt>
              </c:strCache>
            </c:strRef>
          </c:tx>
          <c:spPr>
            <a:ln w="20160">
              <a:solidFill>
                <a:srgbClr val="2ECC71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Diarios'!$K$8:$K$33</c:f>
              <c:numCache>
                <c:formatCode>0.0%</c:formatCode>
                <c:ptCount val="26"/>
                <c:pt idx="0">
                  <c:v>0.5</c:v>
                </c:pt>
                <c:pt idx="1">
                  <c:v>0.50454545454545452</c:v>
                </c:pt>
                <c:pt idx="2">
                  <c:v>0.50505050505050508</c:v>
                </c:pt>
                <c:pt idx="3">
                  <c:v>0.51020408163265307</c:v>
                </c:pt>
                <c:pt idx="4">
                  <c:v>0.50967741935483868</c:v>
                </c:pt>
                <c:pt idx="5">
                  <c:v>0.51428571428571423</c:v>
                </c:pt>
                <c:pt idx="6">
                  <c:v>0.50588235294117645</c:v>
                </c:pt>
                <c:pt idx="7">
                  <c:v>0.50731707317073171</c:v>
                </c:pt>
                <c:pt idx="8">
                  <c:v>0.50869565217391299</c:v>
                </c:pt>
                <c:pt idx="9">
                  <c:v>0.50980392156862742</c:v>
                </c:pt>
                <c:pt idx="10">
                  <c:v>0.51</c:v>
                </c:pt>
                <c:pt idx="11">
                  <c:v>0.5127272727272727</c:v>
                </c:pt>
                <c:pt idx="12">
                  <c:v>0.50909090909090904</c:v>
                </c:pt>
                <c:pt idx="13">
                  <c:v>0.50952380952380949</c:v>
                </c:pt>
                <c:pt idx="14">
                  <c:v>0.51111111111111107</c:v>
                </c:pt>
                <c:pt idx="15">
                  <c:v>0.5115384615384615</c:v>
                </c:pt>
                <c:pt idx="16">
                  <c:v>0.51249999999999996</c:v>
                </c:pt>
                <c:pt idx="17">
                  <c:v>0.51379310344827589</c:v>
                </c:pt>
                <c:pt idx="18">
                  <c:v>0.51111111111111107</c:v>
                </c:pt>
                <c:pt idx="19">
                  <c:v>0.51063829787234039</c:v>
                </c:pt>
                <c:pt idx="20">
                  <c:v>0.50952380952380949</c:v>
                </c:pt>
                <c:pt idx="21">
                  <c:v>0.51111111111111107</c:v>
                </c:pt>
                <c:pt idx="22">
                  <c:v>0.51212121212121209</c:v>
                </c:pt>
                <c:pt idx="23">
                  <c:v>0.51475409836065578</c:v>
                </c:pt>
                <c:pt idx="24">
                  <c:v>0.51052631578947372</c:v>
                </c:pt>
                <c:pt idx="25">
                  <c:v>0.51249999999999996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168581760"/>
        <c:axId val="168609664"/>
      </c:lineChart>
      <c:catAx>
        <c:axId val="16858176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Día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8609664"/>
        <c:crosses val="autoZero"/>
        <c:auto val="1"/>
        <c:lblAlgn val="ctr"/>
        <c:lblOffset val="100"/>
        <c:noMultiLvlLbl val="0"/>
      </c:catAx>
      <c:valAx>
        <c:axId val="16860966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Margen %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8581760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Tasa de Conversión por Día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'📅 Datos Diarios'!$N$7</c:f>
              <c:strCache>
                <c:ptCount val="1"/>
                <c:pt idx="0">
                  <c:v>Conv. %</c:v>
                </c:pt>
              </c:strCache>
            </c:strRef>
          </c:tx>
          <c:spPr>
            <a:ln w="20160">
              <a:solidFill>
                <a:srgbClr val="3498D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Diarios'!$N$8:$N$33</c:f>
              <c:numCache>
                <c:formatCode>0.0%</c:formatCode>
                <c:ptCount val="26"/>
                <c:pt idx="0">
                  <c:v>0.35</c:v>
                </c:pt>
                <c:pt idx="1">
                  <c:v>0.35862068965517241</c:v>
                </c:pt>
                <c:pt idx="2">
                  <c:v>0.35606060606060608</c:v>
                </c:pt>
                <c:pt idx="3">
                  <c:v>0.36249999999999999</c:v>
                </c:pt>
                <c:pt idx="4">
                  <c:v>0.36</c:v>
                </c:pt>
                <c:pt idx="5">
                  <c:v>0.35675675675675678</c:v>
                </c:pt>
                <c:pt idx="6">
                  <c:v>0.35454545454545455</c:v>
                </c:pt>
                <c:pt idx="7">
                  <c:v>0.35555555555555557</c:v>
                </c:pt>
                <c:pt idx="8">
                  <c:v>0.36</c:v>
                </c:pt>
                <c:pt idx="9">
                  <c:v>0.36309523809523808</c:v>
                </c:pt>
                <c:pt idx="10">
                  <c:v>0.35897435897435898</c:v>
                </c:pt>
                <c:pt idx="11">
                  <c:v>0.3611111111111111</c:v>
                </c:pt>
                <c:pt idx="12">
                  <c:v>0.35185185185185186</c:v>
                </c:pt>
                <c:pt idx="13">
                  <c:v>0.35714285714285715</c:v>
                </c:pt>
                <c:pt idx="14">
                  <c:v>0.35810810810810811</c:v>
                </c:pt>
                <c:pt idx="15">
                  <c:v>0.36470588235294116</c:v>
                </c:pt>
                <c:pt idx="16">
                  <c:v>0.36097560975609755</c:v>
                </c:pt>
                <c:pt idx="17">
                  <c:v>0.36170212765957449</c:v>
                </c:pt>
                <c:pt idx="18">
                  <c:v>0.35652173913043478</c:v>
                </c:pt>
                <c:pt idx="19">
                  <c:v>0.36129032258064514</c:v>
                </c:pt>
                <c:pt idx="20">
                  <c:v>0.35714285714285715</c:v>
                </c:pt>
                <c:pt idx="21">
                  <c:v>0.36</c:v>
                </c:pt>
                <c:pt idx="22">
                  <c:v>0.3619047619047619</c:v>
                </c:pt>
                <c:pt idx="23">
                  <c:v>0.35897435897435898</c:v>
                </c:pt>
                <c:pt idx="24">
                  <c:v>0.36065573770491804</c:v>
                </c:pt>
                <c:pt idx="25">
                  <c:v>0.36075949367088606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171990400"/>
        <c:axId val="172508672"/>
      </c:lineChart>
      <c:catAx>
        <c:axId val="17199040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Día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2508672"/>
        <c:crosses val="autoZero"/>
        <c:auto val="1"/>
        <c:lblAlgn val="ctr"/>
        <c:lblOffset val="100"/>
        <c:noMultiLvlLbl val="0"/>
      </c:catAx>
      <c:valAx>
        <c:axId val="17250867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%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1990400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Margen Bruto % por Categoría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'📦 Inventario'!$E$16</c:f>
              <c:strCache>
                <c:ptCount val="1"/>
                <c:pt idx="0">
                  <c:v>Margen
Bruto %</c:v>
                </c:pt>
              </c:strCache>
            </c:strRef>
          </c:tx>
          <c:spPr>
            <a:solidFill>
              <a:srgbClr val="C8433B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'📦 Inventario'!$B$17:$B$22</c:f>
              <c:strCache>
                <c:ptCount val="6"/>
                <c:pt idx="0">
                  <c:v>Ropa y Accesorios</c:v>
                </c:pt>
                <c:pt idx="1">
                  <c:v>Calzado</c:v>
                </c:pt>
                <c:pt idx="2">
                  <c:v>Electrónica</c:v>
                </c:pt>
                <c:pt idx="3">
                  <c:v>Hogar y Deco</c:v>
                </c:pt>
                <c:pt idx="4">
                  <c:v>Belleza y Cuidado</c:v>
                </c:pt>
                <c:pt idx="5">
                  <c:v>Alimentos y Bebidas</c:v>
                </c:pt>
              </c:strCache>
            </c:strRef>
          </c:cat>
          <c:val>
            <c:numRef>
              <c:f>'📦 Inventario'!$E$17:$E$22</c:f>
              <c:numCache>
                <c:formatCode>0.0%</c:formatCode>
                <c:ptCount val="6"/>
                <c:pt idx="0">
                  <c:v>0.5</c:v>
                </c:pt>
                <c:pt idx="1">
                  <c:v>0.5</c:v>
                </c:pt>
                <c:pt idx="2">
                  <c:v>0.375</c:v>
                </c:pt>
                <c:pt idx="3">
                  <c:v>0.55555555555555558</c:v>
                </c:pt>
                <c:pt idx="4">
                  <c:v>0.58333333333333337</c:v>
                </c:pt>
                <c:pt idx="5">
                  <c:v>0.54545454545454541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831488"/>
        <c:axId val="172833792"/>
      </c:barChart>
      <c:catAx>
        <c:axId val="17283148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Margen %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2833792"/>
        <c:crosses val="autoZero"/>
        <c:auto val="1"/>
        <c:lblAlgn val="ctr"/>
        <c:lblOffset val="100"/>
        <c:noMultiLvlLbl val="0"/>
      </c:catAx>
      <c:valAx>
        <c:axId val="172833792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numFmt formatCode="0.0%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2831488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Rotación de Inventario por Categoría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'📦 Inventario'!$H$6</c:f>
              <c:strCache>
                <c:ptCount val="1"/>
                <c:pt idx="0">
                  <c:v>Rotación
de Inventario</c:v>
                </c:pt>
              </c:strCache>
            </c:strRef>
          </c:tx>
          <c:spPr>
            <a:solidFill>
              <a:srgbClr val="C9A84C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'📦 Inventario'!$B$17:$B$22</c:f>
              <c:strCache>
                <c:ptCount val="6"/>
                <c:pt idx="0">
                  <c:v>Ropa y Accesorios</c:v>
                </c:pt>
                <c:pt idx="1">
                  <c:v>Calzado</c:v>
                </c:pt>
                <c:pt idx="2">
                  <c:v>Electrónica</c:v>
                </c:pt>
                <c:pt idx="3">
                  <c:v>Hogar y Deco</c:v>
                </c:pt>
                <c:pt idx="4">
                  <c:v>Belleza y Cuidado</c:v>
                </c:pt>
                <c:pt idx="5">
                  <c:v>Alimentos y Bebidas</c:v>
                </c:pt>
              </c:strCache>
            </c:strRef>
          </c:cat>
          <c:val>
            <c:numRef>
              <c:f>'📦 Inventario'!$H$7:$H$12</c:f>
              <c:numCache>
                <c:formatCode>0.0%</c:formatCode>
                <c:ptCount val="6"/>
                <c:pt idx="0">
                  <c:v>0.42499999999999999</c:v>
                </c:pt>
                <c:pt idx="1">
                  <c:v>0.41333333333333333</c:v>
                </c:pt>
                <c:pt idx="2">
                  <c:v>0.47499999999999998</c:v>
                </c:pt>
                <c:pt idx="3">
                  <c:v>0.31666666666666665</c:v>
                </c:pt>
                <c:pt idx="4">
                  <c:v>0.36</c:v>
                </c:pt>
                <c:pt idx="5">
                  <c:v>0.55000000000000004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179456"/>
        <c:axId val="174181376"/>
      </c:barChart>
      <c:catAx>
        <c:axId val="174179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4181376"/>
        <c:crosses val="autoZero"/>
        <c:auto val="1"/>
        <c:lblAlgn val="ctr"/>
        <c:lblOffset val="100"/>
        <c:noMultiLvlLbl val="0"/>
      </c:catAx>
      <c:valAx>
        <c:axId val="174181376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% Vendido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4179456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Ventas Semanales vs. Meta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'📊 Dashboard Ejecutivo'!$I$18</c:f>
              <c:strCache>
                <c:ptCount val="1"/>
                <c:pt idx="0">
                  <c:v>TOTAL
SEMANA</c:v>
                </c:pt>
              </c:strCache>
            </c:strRef>
          </c:tx>
          <c:spPr>
            <a:solidFill>
              <a:srgbClr val="C8433B"/>
            </a:solidFill>
            <a:ln w="9360">
              <a:solidFill>
                <a:srgbClr val="C8433B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Dashboard Ejecutivo'!$B$19:$B$22</c:f>
              <c:strCache>
                <c:ptCount val="4"/>
                <c:pt idx="0">
                  <c:v>Semana 1</c:v>
                </c:pt>
                <c:pt idx="1">
                  <c:v>Semana 2</c:v>
                </c:pt>
                <c:pt idx="2">
                  <c:v>Semana 3</c:v>
                </c:pt>
                <c:pt idx="3">
                  <c:v>Semana 4</c:v>
                </c:pt>
              </c:strCache>
            </c:strRef>
          </c:cat>
          <c:val>
            <c:numRef>
              <c:f>'📊 Dashboard Ejecutivo'!$I$19:$I$22</c:f>
              <c:numCache>
                <c:formatCode>#,##0</c:formatCode>
                <c:ptCount val="4"/>
                <c:pt idx="0">
                  <c:v>143800</c:v>
                </c:pt>
                <c:pt idx="1">
                  <c:v>143500</c:v>
                </c:pt>
                <c:pt idx="2">
                  <c:v>147000</c:v>
                </c:pt>
                <c:pt idx="3">
                  <c:v>153000</c:v>
                </c:pt>
              </c:numCache>
            </c:numRef>
          </c:val>
        </c:ser>
        <c:ser>
          <c:idx val="1"/>
          <c:order val="1"/>
          <c:tx>
            <c:strRef>
              <c:f>'📊 Dashboard Ejecutivo'!$J$18</c:f>
              <c:strCache>
                <c:ptCount val="1"/>
                <c:pt idx="0">
                  <c:v>META
SEMANA</c:v>
                </c:pt>
              </c:strCache>
            </c:strRef>
          </c:tx>
          <c:spPr>
            <a:solidFill>
              <a:srgbClr val="C9A84C"/>
            </a:solidFill>
            <a:ln w="9360">
              <a:solidFill>
                <a:srgbClr val="C9A84C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Dashboard Ejecutivo'!$B$19:$B$22</c:f>
              <c:strCache>
                <c:ptCount val="4"/>
                <c:pt idx="0">
                  <c:v>Semana 1</c:v>
                </c:pt>
                <c:pt idx="1">
                  <c:v>Semana 2</c:v>
                </c:pt>
                <c:pt idx="2">
                  <c:v>Semana 3</c:v>
                </c:pt>
                <c:pt idx="3">
                  <c:v>Semana 4</c:v>
                </c:pt>
              </c:strCache>
            </c:strRef>
          </c:cat>
          <c:val>
            <c:numRef>
              <c:f>'📊 Dashboard Ejecutivo'!$J$19:$J$22</c:f>
              <c:numCache>
                <c:formatCode>#,##0</c:formatCode>
                <c:ptCount val="4"/>
                <c:pt idx="0">
                  <c:v>115384.61538461538</c:v>
                </c:pt>
                <c:pt idx="1">
                  <c:v>115384.61538461538</c:v>
                </c:pt>
                <c:pt idx="2">
                  <c:v>115384.61538461538</c:v>
                </c:pt>
                <c:pt idx="3">
                  <c:v>115384.61538461538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9840896"/>
        <c:axId val="179884032"/>
      </c:barChart>
      <c:catAx>
        <c:axId val="17984089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Semana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9884032"/>
        <c:crosses val="autoZero"/>
        <c:auto val="1"/>
        <c:lblAlgn val="ctr"/>
        <c:lblOffset val="100"/>
        <c:noMultiLvlLbl val="0"/>
      </c:catAx>
      <c:valAx>
        <c:axId val="17988403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DOP $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9840896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% Avance vs. Meta por KPI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'📊 Dashboard Ejecutivo'!$O$55</c:f>
              <c:strCache>
                <c:ptCount val="1"/>
                <c:pt idx="0">
                  <c:v>% Avance</c:v>
                </c:pt>
              </c:strCache>
            </c:strRef>
          </c:tx>
          <c:spPr>
            <a:solidFill>
              <a:srgbClr val="C9A84C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Dashboard Ejecutivo'!$N$56:$N$61</c:f>
              <c:strCache>
                <c:ptCount val="6"/>
                <c:pt idx="0">
                  <c:v>Ventas Totales</c:v>
                </c:pt>
                <c:pt idx="1">
                  <c:v>Ticket Promedio</c:v>
                </c:pt>
                <c:pt idx="2">
                  <c:v>Tasa Conversión</c:v>
                </c:pt>
                <c:pt idx="3">
                  <c:v>Rotación Inv.</c:v>
                </c:pt>
                <c:pt idx="4">
                  <c:v>Margen Bruto</c:v>
                </c:pt>
                <c:pt idx="5">
                  <c:v>Clientes Mes</c:v>
                </c:pt>
              </c:strCache>
            </c:strRef>
          </c:cat>
          <c:val>
            <c:numRef>
              <c:f>'📊 Dashboard Ejecutivo'!$O$56:$O$61</c:f>
              <c:numCache>
                <c:formatCode>0.0%</c:formatCode>
                <c:ptCount val="6"/>
                <c:pt idx="0">
                  <c:v>1.2605999999999999</c:v>
                </c:pt>
                <c:pt idx="1">
                  <c:v>0.28468834688346883</c:v>
                </c:pt>
                <c:pt idx="2">
                  <c:v>1.0263185342280012</c:v>
                </c:pt>
                <c:pt idx="3">
                  <c:v>106100</c:v>
                </c:pt>
                <c:pt idx="4">
                  <c:v>1.1340278879545895</c:v>
                </c:pt>
                <c:pt idx="5">
                  <c:v>4.2171428571428571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590656"/>
        <c:axId val="201793920"/>
      </c:barChart>
      <c:catAx>
        <c:axId val="201590656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% Cumplimiento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01793920"/>
        <c:crosses val="autoZero"/>
        <c:auto val="1"/>
        <c:lblAlgn val="ctr"/>
        <c:lblOffset val="100"/>
        <c:noMultiLvlLbl val="0"/>
      </c:catAx>
      <c:valAx>
        <c:axId val="201793920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numFmt formatCode="0.0%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01590656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Tendencia de Ventas Diarias del Mes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'📅 Datos Diarios'!$E$7</c:f>
              <c:strCache>
                <c:ptCount val="1"/>
                <c:pt idx="0">
                  <c:v>Ventas del Día
(DOP $)</c:v>
                </c:pt>
              </c:strCache>
            </c:strRef>
          </c:tx>
          <c:spPr>
            <a:ln w="24840">
              <a:solidFill>
                <a:srgbClr val="C8433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Diarios'!$E$8:$E$33</c:f>
              <c:numCache>
                <c:formatCode>#,##0</c:formatCode>
                <c:ptCount val="26"/>
                <c:pt idx="0">
                  <c:v>18500</c:v>
                </c:pt>
                <c:pt idx="1">
                  <c:v>22000</c:v>
                </c:pt>
                <c:pt idx="2">
                  <c:v>19800</c:v>
                </c:pt>
                <c:pt idx="3">
                  <c:v>24500</c:v>
                </c:pt>
                <c:pt idx="4">
                  <c:v>31000</c:v>
                </c:pt>
                <c:pt idx="5">
                  <c:v>28000</c:v>
                </c:pt>
                <c:pt idx="6">
                  <c:v>17000</c:v>
                </c:pt>
                <c:pt idx="7">
                  <c:v>20500</c:v>
                </c:pt>
                <c:pt idx="8">
                  <c:v>23000</c:v>
                </c:pt>
                <c:pt idx="9">
                  <c:v>25500</c:v>
                </c:pt>
                <c:pt idx="10">
                  <c:v>30000</c:v>
                </c:pt>
                <c:pt idx="11">
                  <c:v>27500</c:v>
                </c:pt>
                <c:pt idx="12">
                  <c:v>16500</c:v>
                </c:pt>
                <c:pt idx="13">
                  <c:v>21000</c:v>
                </c:pt>
                <c:pt idx="14">
                  <c:v>22500</c:v>
                </c:pt>
                <c:pt idx="15">
                  <c:v>26000</c:v>
                </c:pt>
                <c:pt idx="16">
                  <c:v>32000</c:v>
                </c:pt>
                <c:pt idx="17">
                  <c:v>29000</c:v>
                </c:pt>
                <c:pt idx="18">
                  <c:v>18000</c:v>
                </c:pt>
                <c:pt idx="19">
                  <c:v>23500</c:v>
                </c:pt>
                <c:pt idx="20">
                  <c:v>21000</c:v>
                </c:pt>
                <c:pt idx="21">
                  <c:v>27000</c:v>
                </c:pt>
                <c:pt idx="22">
                  <c:v>33000</c:v>
                </c:pt>
                <c:pt idx="23">
                  <c:v>30500</c:v>
                </c:pt>
                <c:pt idx="24">
                  <c:v>19000</c:v>
                </c:pt>
                <c:pt idx="25">
                  <c:v>24000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'📅 Datos Diarios'!$M$7</c:f>
              <c:strCache>
                <c:ptCount val="1"/>
                <c:pt idx="0">
                  <c:v>Meta Diaria</c:v>
                </c:pt>
              </c:strCache>
            </c:strRef>
          </c:tx>
          <c:spPr>
            <a:ln w="18000">
              <a:solidFill>
                <a:srgbClr val="C9A84C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'📅 Datos Diarios'!$B$8:$B$33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</c:numCache>
            </c:numRef>
          </c:cat>
          <c:val>
            <c:numRef>
              <c:f>'📅 Datos Diarios'!$M$8:$M$33</c:f>
              <c:numCache>
                <c:formatCode>#,##0</c:formatCode>
                <c:ptCount val="26"/>
                <c:pt idx="0">
                  <c:v>19230.76923076923</c:v>
                </c:pt>
                <c:pt idx="1">
                  <c:v>19230.76923076923</c:v>
                </c:pt>
                <c:pt idx="2">
                  <c:v>19230.76923076923</c:v>
                </c:pt>
                <c:pt idx="3">
                  <c:v>19230.76923076923</c:v>
                </c:pt>
                <c:pt idx="4">
                  <c:v>19230.76923076923</c:v>
                </c:pt>
                <c:pt idx="5">
                  <c:v>19230.76923076923</c:v>
                </c:pt>
                <c:pt idx="6">
                  <c:v>19230.76923076923</c:v>
                </c:pt>
                <c:pt idx="7">
                  <c:v>19230.76923076923</c:v>
                </c:pt>
                <c:pt idx="8">
                  <c:v>19230.76923076923</c:v>
                </c:pt>
                <c:pt idx="9">
                  <c:v>19230.76923076923</c:v>
                </c:pt>
                <c:pt idx="10">
                  <c:v>19230.76923076923</c:v>
                </c:pt>
                <c:pt idx="11">
                  <c:v>19230.76923076923</c:v>
                </c:pt>
                <c:pt idx="12">
                  <c:v>19230.76923076923</c:v>
                </c:pt>
                <c:pt idx="13">
                  <c:v>19230.76923076923</c:v>
                </c:pt>
                <c:pt idx="14">
                  <c:v>19230.76923076923</c:v>
                </c:pt>
                <c:pt idx="15">
                  <c:v>19230.76923076923</c:v>
                </c:pt>
                <c:pt idx="16">
                  <c:v>19230.76923076923</c:v>
                </c:pt>
                <c:pt idx="17">
                  <c:v>19230.76923076923</c:v>
                </c:pt>
                <c:pt idx="18">
                  <c:v>19230.76923076923</c:v>
                </c:pt>
                <c:pt idx="19">
                  <c:v>19230.76923076923</c:v>
                </c:pt>
                <c:pt idx="20">
                  <c:v>19230.76923076923</c:v>
                </c:pt>
                <c:pt idx="21">
                  <c:v>19230.76923076923</c:v>
                </c:pt>
                <c:pt idx="22">
                  <c:v>19230.76923076923</c:v>
                </c:pt>
                <c:pt idx="23">
                  <c:v>19230.76923076923</c:v>
                </c:pt>
                <c:pt idx="24">
                  <c:v>19230.76923076923</c:v>
                </c:pt>
                <c:pt idx="25">
                  <c:v>19230.76923076923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202221824"/>
        <c:axId val="202524544"/>
      </c:lineChart>
      <c:catAx>
        <c:axId val="20222182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Día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02524544"/>
        <c:crosses val="autoZero"/>
        <c:auto val="1"/>
        <c:lblAlgn val="ctr"/>
        <c:lblOffset val="100"/>
        <c:noMultiLvlLbl val="0"/>
      </c:catAx>
      <c:valAx>
        <c:axId val="20252454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DOP $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02221824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Visitantes: Compradores vs. No Compradores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'📊 Dashboard Ejecutivo'!$O$72</c:f>
              <c:strCache>
                <c:ptCount val="1"/>
                <c:pt idx="0">
                  <c:v>Cantidad</c:v>
                </c:pt>
              </c:strCache>
            </c:strRef>
          </c:tx>
          <c:spPr>
            <a:solidFill>
              <a:srgbClr val="4F81BD"/>
            </a:solidFill>
            <a:ln w="0">
              <a:solidFill>
                <a:srgbClr val="000000"/>
              </a:solidFill>
            </a:ln>
          </c:spPr>
          <c:dPt>
            <c:idx val="0"/>
            <c:bubble3D val="0"/>
            <c:spPr>
              <a:solidFill>
                <a:srgbClr val="C8433B"/>
              </a:solidFill>
              <a:ln w="0">
                <a:solidFill>
                  <a:srgbClr val="000000"/>
                </a:solidFill>
              </a:ln>
            </c:spPr>
          </c:dPt>
          <c:dPt>
            <c:idx val="1"/>
            <c:bubble3D val="0"/>
            <c:spPr>
              <a:solidFill>
                <a:srgbClr val="D4CFC4"/>
              </a:solidFill>
              <a:ln w="0">
                <a:solidFill>
                  <a:srgbClr val="000000"/>
                </a:solidFill>
              </a:ln>
            </c:spPr>
          </c:dPt>
          <c:dLbls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bestFit"/>
            <c:showLegendKey val="1"/>
            <c:showVal val="1"/>
            <c:showCatName val="1"/>
            <c:showSerName val="1"/>
            <c:showPercent val="1"/>
            <c:showBubbleSize val="1"/>
            <c:separator>; </c:separator>
            <c:showLeaderLines val="1"/>
          </c:dLbls>
          <c:cat>
            <c:strRef>
              <c:f>'📊 Dashboard Ejecutivo'!$N$73:$N$74</c:f>
              <c:strCache>
                <c:ptCount val="2"/>
                <c:pt idx="0">
                  <c:v>Compradores</c:v>
                </c:pt>
                <c:pt idx="1">
                  <c:v>No compradores</c:v>
                </c:pt>
              </c:strCache>
            </c:strRef>
          </c:cat>
          <c:val>
            <c:numRef>
              <c:f>'📊 Dashboard Ejecutivo'!$O$73:$O$74</c:f>
              <c:numCache>
                <c:formatCode>General</c:formatCode>
                <c:ptCount val="2"/>
                <c:pt idx="0" formatCode="#,##0">
                  <c:v>1476</c:v>
                </c:pt>
                <c:pt idx="1">
                  <c:v>2633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hyperlink" Target="https://siempreexcel.com/plantillas-de-excel/" TargetMode="Externa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https://siempreexcel.com/plantillas-de-excel/" TargetMode="Externa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image" Target="../media/image1.png"/><Relationship Id="rId5" Type="http://schemas.openxmlformats.org/officeDocument/2006/relationships/hyperlink" Target="https://siempreexcel.com/plantillas-de-excel/" TargetMode="External"/><Relationship Id="rId4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94435B9B-B4B8-4659-B9D4-E7CE6AF96A20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E0B1411-7F7F-49DC-9707-97652A546287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95EDAA1-9478-439B-A41C-51A2B6B5E8E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514349</xdr:colOff>
      <xdr:row>1</xdr:row>
      <xdr:rowOff>171449</xdr:rowOff>
    </xdr:from>
    <xdr:to>
      <xdr:col>13</xdr:col>
      <xdr:colOff>319803</xdr:colOff>
      <xdr:row>5</xdr:row>
      <xdr:rowOff>114299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715124" y="323849"/>
          <a:ext cx="4386979" cy="65722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200024</xdr:colOff>
      <xdr:row>42</xdr:row>
      <xdr:rowOff>190499</xdr:rowOff>
    </xdr:from>
    <xdr:to>
      <xdr:col>3</xdr:col>
      <xdr:colOff>786528</xdr:colOff>
      <xdr:row>46</xdr:row>
      <xdr:rowOff>85724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0024" y="8248649"/>
          <a:ext cx="4386979" cy="657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983797</xdr:colOff>
      <xdr:row>58</xdr:row>
      <xdr:rowOff>108857</xdr:rowOff>
    </xdr:from>
    <xdr:to>
      <xdr:col>20</xdr:col>
      <xdr:colOff>299357</xdr:colOff>
      <xdr:row>81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136072</xdr:colOff>
      <xdr:row>36</xdr:row>
      <xdr:rowOff>133350</xdr:rowOff>
    </xdr:from>
    <xdr:to>
      <xdr:col>8</xdr:col>
      <xdr:colOff>737881</xdr:colOff>
      <xdr:row>57</xdr:row>
      <xdr:rowOff>78921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8</xdr:col>
      <xdr:colOff>981077</xdr:colOff>
      <xdr:row>36</xdr:row>
      <xdr:rowOff>156481</xdr:rowOff>
    </xdr:from>
    <xdr:to>
      <xdr:col>20</xdr:col>
      <xdr:colOff>331030</xdr:colOff>
      <xdr:row>57</xdr:row>
      <xdr:rowOff>108856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136071</xdr:colOff>
      <xdr:row>58</xdr:row>
      <xdr:rowOff>74839</xdr:rowOff>
    </xdr:from>
    <xdr:to>
      <xdr:col>8</xdr:col>
      <xdr:colOff>761999</xdr:colOff>
      <xdr:row>81</xdr:row>
      <xdr:rowOff>12859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17</xdr:col>
      <xdr:colOff>0</xdr:colOff>
      <xdr:row>5</xdr:row>
      <xdr:rowOff>0</xdr:rowOff>
    </xdr:from>
    <xdr:to>
      <xdr:col>31</xdr:col>
      <xdr:colOff>518525</xdr:colOff>
      <xdr:row>9</xdr:row>
      <xdr:rowOff>142875</xdr:rowOff>
    </xdr:to>
    <xdr:pic>
      <xdr:nvPicPr>
        <xdr:cNvPr id="7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335000" y="952500"/>
          <a:ext cx="8424275" cy="126206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10</xdr:col>
      <xdr:colOff>2978</xdr:colOff>
      <xdr:row>91</xdr:row>
      <xdr:rowOff>166687</xdr:rowOff>
    </xdr:to>
    <xdr:pic>
      <xdr:nvPicPr>
        <xdr:cNvPr id="9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5313" y="18311813"/>
          <a:ext cx="8742165" cy="130968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847725</xdr:colOff>
      <xdr:row>23</xdr:row>
      <xdr:rowOff>57149</xdr:rowOff>
    </xdr:from>
    <xdr:to>
      <xdr:col>9</xdr:col>
      <xdr:colOff>142875</xdr:colOff>
      <xdr:row>49</xdr:row>
      <xdr:rowOff>161925</xdr:rowOff>
    </xdr:to>
    <xdr:graphicFrame macro="">
      <xdr:nvGraphicFramePr>
        <xdr:cNvPr id="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23</xdr:row>
      <xdr:rowOff>28575</xdr:rowOff>
    </xdr:from>
    <xdr:to>
      <xdr:col>4</xdr:col>
      <xdr:colOff>752475</xdr:colOff>
      <xdr:row>49</xdr:row>
      <xdr:rowOff>114975</xdr:rowOff>
    </xdr:to>
    <xdr:graphicFrame macro="">
      <xdr:nvGraphicFramePr>
        <xdr:cNvPr id="5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10</xdr:col>
      <xdr:colOff>0</xdr:colOff>
      <xdr:row>2</xdr:row>
      <xdr:rowOff>0</xdr:rowOff>
    </xdr:from>
    <xdr:to>
      <xdr:col>17</xdr:col>
      <xdr:colOff>319804</xdr:colOff>
      <xdr:row>5</xdr:row>
      <xdr:rowOff>85725</xdr:rowOff>
    </xdr:to>
    <xdr:pic>
      <xdr:nvPicPr>
        <xdr:cNvPr id="7" name="Imagen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048875" y="381000"/>
          <a:ext cx="4386979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4</xdr:col>
      <xdr:colOff>386479</xdr:colOff>
      <xdr:row>54</xdr:row>
      <xdr:rowOff>85725</xdr:rowOff>
    </xdr:to>
    <xdr:pic>
      <xdr:nvPicPr>
        <xdr:cNvPr id="8" name="Imagen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00025" y="10248900"/>
          <a:ext cx="4386979" cy="6572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129018</xdr:colOff>
      <xdr:row>38</xdr:row>
      <xdr:rowOff>0</xdr:rowOff>
    </xdr:from>
    <xdr:to>
      <xdr:col>11</xdr:col>
      <xdr:colOff>900545</xdr:colOff>
      <xdr:row>64</xdr:row>
      <xdr:rowOff>86400</xdr:rowOff>
    </xdr:to>
    <xdr:graphicFrame macro="">
      <xdr:nvGraphicFramePr>
        <xdr:cNvPr id="6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225138</xdr:colOff>
      <xdr:row>38</xdr:row>
      <xdr:rowOff>51955</xdr:rowOff>
    </xdr:from>
    <xdr:to>
      <xdr:col>25</xdr:col>
      <xdr:colOff>491618</xdr:colOff>
      <xdr:row>64</xdr:row>
      <xdr:rowOff>177321</xdr:rowOff>
    </xdr:to>
    <xdr:graphicFrame macro="">
      <xdr:nvGraphicFramePr>
        <xdr:cNvPr id="7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51954</xdr:colOff>
      <xdr:row>65</xdr:row>
      <xdr:rowOff>173181</xdr:rowOff>
    </xdr:from>
    <xdr:to>
      <xdr:col>11</xdr:col>
      <xdr:colOff>813955</xdr:colOff>
      <xdr:row>92</xdr:row>
      <xdr:rowOff>138544</xdr:rowOff>
    </xdr:to>
    <xdr:graphicFrame macro="">
      <xdr:nvGraphicFramePr>
        <xdr:cNvPr id="8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12</xdr:col>
      <xdr:colOff>173182</xdr:colOff>
      <xdr:row>66</xdr:row>
      <xdr:rowOff>69272</xdr:rowOff>
    </xdr:from>
    <xdr:to>
      <xdr:col>25</xdr:col>
      <xdr:colOff>484909</xdr:colOff>
      <xdr:row>93</xdr:row>
      <xdr:rowOff>86591</xdr:rowOff>
    </xdr:to>
    <xdr:graphicFrame macro="">
      <xdr:nvGraphicFramePr>
        <xdr:cNvPr id="9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14</xdr:col>
      <xdr:colOff>0</xdr:colOff>
      <xdr:row>3</xdr:row>
      <xdr:rowOff>0</xdr:rowOff>
    </xdr:from>
    <xdr:to>
      <xdr:col>23</xdr:col>
      <xdr:colOff>503960</xdr:colOff>
      <xdr:row>8</xdr:row>
      <xdr:rowOff>173181</xdr:rowOff>
    </xdr:to>
    <xdr:pic>
      <xdr:nvPicPr>
        <xdr:cNvPr id="11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681364" y="571500"/>
          <a:ext cx="6011141" cy="900545"/>
        </a:xfrm>
        <a:prstGeom prst="rect">
          <a:avLst/>
        </a:prstGeom>
      </xdr:spPr>
    </xdr:pic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0.51565</cdr:x>
      <cdr:y>0.87265</cdr:y>
    </cdr:from>
    <cdr:to>
      <cdr:x>1</cdr:x>
      <cdr:y>1</cdr:y>
    </cdr:to>
    <cdr:pic>
      <cdr:nvPicPr>
        <cdr:cNvPr id="3" name="Imagen 4">
          <a:hlinkClick xmlns:a="http://schemas.openxmlformats.org/drawingml/2006/main" xmlns:r="http://schemas.openxmlformats.org/officeDocument/2006/relationships" r:id="rId1"/>
          <a:extLst xmlns:a="http://schemas.openxmlformats.org/drawingml/2006/main">
            <a:ext uri="{FF2B5EF4-FFF2-40B4-BE49-F238E27FC236}">
              <a16:creationId xmlns:xdr="http://schemas.openxmlformats.org/drawingml/2006/spreadsheetDrawing" xmlns="" xmlns:a16="http://schemas.microsoft.com/office/drawing/2014/main" xmlns:lc="http://schemas.openxmlformats.org/drawingml/2006/lockedCanvas" id="{06269628-D204-4674-9D4C-6582A73629F4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2" cstate="print"/>
        <a:stretch xmlns:a="http://schemas.openxmlformats.org/drawingml/2006/main">
          <a:fillRect/>
        </a:stretch>
      </cdr:blipFill>
      <cdr:spPr>
        <a:xfrm xmlns:a="http://schemas.openxmlformats.org/drawingml/2006/main">
          <a:off x="4670430" y="4503594"/>
          <a:ext cx="4386979" cy="657225"/>
        </a:xfrm>
        <a:prstGeom xmlns:a="http://schemas.openxmlformats.org/drawingml/2006/main" prst="rect">
          <a:avLst/>
        </a:prstGeom>
      </cdr:spPr>
    </cdr:pic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5"/>
  <cols>
    <col min="1" max="1" width="3.42578125" style="114" customWidth="1"/>
    <col min="2" max="2" width="90.85546875" style="114" customWidth="1"/>
    <col min="3" max="16381" width="11" style="114" hidden="1"/>
    <col min="16382" max="16382" width="29.7109375" style="114" hidden="1" customWidth="1"/>
    <col min="16383" max="16383" width="25.85546875" style="114" hidden="1" customWidth="1"/>
    <col min="16384" max="16384" width="18.85546875" style="114" hidden="1" customWidth="1"/>
  </cols>
  <sheetData>
    <row r="1" spans="2:2" ht="56.25" customHeight="1" x14ac:dyDescent="0.25"/>
    <row r="2" spans="2:2" ht="56.25" customHeight="1" x14ac:dyDescent="0.5">
      <c r="B2" s="115" t="s">
        <v>137</v>
      </c>
    </row>
    <row r="3" spans="2:2" ht="212.25" customHeight="1" x14ac:dyDescent="0.25">
      <c r="B3" s="116" t="s">
        <v>138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9A84C"/>
  </sheetPr>
  <dimension ref="A1:I41"/>
  <sheetViews>
    <sheetView showGridLines="0" zoomScaleNormal="100" workbookViewId="0">
      <selection activeCell="F44" sqref="F44"/>
    </sheetView>
  </sheetViews>
  <sheetFormatPr defaultColWidth="8.7109375" defaultRowHeight="15" x14ac:dyDescent="0.25"/>
  <cols>
    <col min="1" max="1" width="3" style="1" customWidth="1"/>
    <col min="2" max="2" width="32" style="1" customWidth="1"/>
    <col min="3" max="3" width="22" style="1" customWidth="1"/>
    <col min="4" max="5" width="18" style="1" customWidth="1"/>
    <col min="6" max="6" width="7.7109375" style="98" customWidth="1"/>
    <col min="7" max="9" width="8.7109375" style="99"/>
  </cols>
  <sheetData>
    <row r="1" spans="1:9" ht="12" customHeight="1" x14ac:dyDescent="0.25">
      <c r="A1" s="121" t="s">
        <v>0</v>
      </c>
      <c r="B1" s="121"/>
      <c r="C1" s="121"/>
      <c r="D1" s="121"/>
      <c r="E1" s="121"/>
      <c r="F1" s="113"/>
      <c r="G1" s="113"/>
      <c r="H1" s="113"/>
      <c r="I1" s="113"/>
    </row>
    <row r="2" spans="1:9" ht="13.5" customHeight="1" x14ac:dyDescent="0.25">
      <c r="A2" s="121"/>
      <c r="B2" s="121"/>
      <c r="C2" s="121"/>
      <c r="D2" s="121"/>
      <c r="E2" s="121"/>
      <c r="F2" s="113"/>
      <c r="G2" s="113"/>
      <c r="H2" s="113"/>
      <c r="I2" s="113"/>
    </row>
    <row r="3" spans="1:9" ht="13.5" customHeight="1" x14ac:dyDescent="0.25">
      <c r="A3" s="121"/>
      <c r="B3" s="121"/>
      <c r="C3" s="121"/>
      <c r="D3" s="121"/>
      <c r="E3" s="121"/>
      <c r="F3" s="113"/>
      <c r="G3" s="113"/>
      <c r="H3" s="113"/>
      <c r="I3" s="113"/>
    </row>
    <row r="4" spans="1:9" ht="13.5" customHeight="1" x14ac:dyDescent="0.25">
      <c r="A4" s="121"/>
      <c r="B4" s="121"/>
      <c r="C4" s="121"/>
      <c r="D4" s="121"/>
      <c r="E4" s="121"/>
      <c r="F4" s="113"/>
      <c r="G4" s="113"/>
      <c r="H4" s="113"/>
      <c r="I4" s="113"/>
    </row>
    <row r="5" spans="1:9" ht="15.75" customHeight="1" x14ac:dyDescent="0.25">
      <c r="A5" s="112"/>
      <c r="B5" s="112"/>
      <c r="C5" s="112"/>
      <c r="D5" s="112"/>
      <c r="E5" s="112"/>
      <c r="F5" s="113"/>
      <c r="G5" s="113"/>
      <c r="H5" s="113"/>
      <c r="I5" s="113"/>
    </row>
    <row r="7" spans="1:9" ht="15" customHeight="1" x14ac:dyDescent="0.25">
      <c r="B7" s="118" t="s">
        <v>1</v>
      </c>
      <c r="C7" s="118"/>
      <c r="D7" s="118"/>
      <c r="E7" s="118"/>
    </row>
    <row r="8" spans="1:9" ht="15" customHeight="1" x14ac:dyDescent="0.25">
      <c r="B8" s="2" t="s">
        <v>2</v>
      </c>
      <c r="C8" s="3" t="s">
        <v>3</v>
      </c>
    </row>
    <row r="9" spans="1:9" ht="15" customHeight="1" x14ac:dyDescent="0.25">
      <c r="B9" s="2" t="s">
        <v>4</v>
      </c>
      <c r="C9" s="3" t="s">
        <v>5</v>
      </c>
    </row>
    <row r="10" spans="1:9" ht="15" customHeight="1" x14ac:dyDescent="0.25">
      <c r="B10" s="2" t="s">
        <v>6</v>
      </c>
      <c r="C10" s="3" t="s">
        <v>7</v>
      </c>
    </row>
    <row r="11" spans="1:9" ht="15" customHeight="1" x14ac:dyDescent="0.25">
      <c r="B11" s="2" t="s">
        <v>8</v>
      </c>
      <c r="C11" s="3" t="s">
        <v>9</v>
      </c>
    </row>
    <row r="12" spans="1:9" ht="15" customHeight="1" x14ac:dyDescent="0.25">
      <c r="B12" s="2" t="s">
        <v>10</v>
      </c>
      <c r="C12" s="3">
        <v>2024</v>
      </c>
    </row>
    <row r="13" spans="1:9" ht="15" customHeight="1" x14ac:dyDescent="0.25">
      <c r="B13" s="2" t="s">
        <v>11</v>
      </c>
      <c r="C13" s="3">
        <v>26</v>
      </c>
    </row>
    <row r="14" spans="1:9" ht="15" customHeight="1" x14ac:dyDescent="0.25">
      <c r="B14" s="2" t="s">
        <v>12</v>
      </c>
      <c r="C14" s="3" t="s">
        <v>13</v>
      </c>
    </row>
    <row r="16" spans="1:9" ht="15" customHeight="1" x14ac:dyDescent="0.25">
      <c r="B16" s="119" t="s">
        <v>14</v>
      </c>
      <c r="C16" s="119"/>
      <c r="D16" s="119"/>
      <c r="E16" s="119"/>
    </row>
    <row r="17" spans="2:5" ht="15" customHeight="1" x14ac:dyDescent="0.25">
      <c r="B17" s="4" t="s">
        <v>15</v>
      </c>
      <c r="C17" s="4" t="s">
        <v>16</v>
      </c>
      <c r="D17" s="4" t="s">
        <v>17</v>
      </c>
      <c r="E17" s="4" t="s">
        <v>18</v>
      </c>
    </row>
    <row r="18" spans="2:5" ht="15" customHeight="1" x14ac:dyDescent="0.25">
      <c r="B18" s="5" t="s">
        <v>19</v>
      </c>
      <c r="C18" s="6">
        <v>500000</v>
      </c>
      <c r="D18" s="7">
        <f t="shared" ref="D18:D23" si="0">C18*0.8</f>
        <v>400000</v>
      </c>
      <c r="E18" s="8" t="s">
        <v>13</v>
      </c>
    </row>
    <row r="19" spans="2:5" ht="15" customHeight="1" x14ac:dyDescent="0.25">
      <c r="B19" s="5" t="s">
        <v>20</v>
      </c>
      <c r="C19" s="6">
        <v>1500</v>
      </c>
      <c r="D19" s="7">
        <f t="shared" si="0"/>
        <v>1200</v>
      </c>
      <c r="E19" s="8" t="s">
        <v>13</v>
      </c>
    </row>
    <row r="20" spans="2:5" ht="15" customHeight="1" x14ac:dyDescent="0.25">
      <c r="B20" s="5" t="s">
        <v>21</v>
      </c>
      <c r="C20" s="9">
        <v>0.35</v>
      </c>
      <c r="D20" s="10">
        <f t="shared" si="0"/>
        <v>0.27999999999999997</v>
      </c>
      <c r="E20" s="8" t="s">
        <v>22</v>
      </c>
    </row>
    <row r="21" spans="2:5" ht="15" customHeight="1" x14ac:dyDescent="0.25">
      <c r="B21" s="5" t="s">
        <v>23</v>
      </c>
      <c r="C21" s="11">
        <v>4</v>
      </c>
      <c r="D21" s="12">
        <f t="shared" si="0"/>
        <v>3.2</v>
      </c>
      <c r="E21" s="8" t="s">
        <v>24</v>
      </c>
    </row>
    <row r="22" spans="2:5" ht="15" customHeight="1" x14ac:dyDescent="0.25">
      <c r="B22" s="5" t="s">
        <v>25</v>
      </c>
      <c r="C22" s="9">
        <v>0.45</v>
      </c>
      <c r="D22" s="10">
        <f t="shared" si="0"/>
        <v>0.36000000000000004</v>
      </c>
      <c r="E22" s="8" t="s">
        <v>22</v>
      </c>
    </row>
    <row r="23" spans="2:5" ht="15" customHeight="1" x14ac:dyDescent="0.25">
      <c r="B23" s="5" t="s">
        <v>26</v>
      </c>
      <c r="C23" s="11">
        <v>350</v>
      </c>
      <c r="D23" s="12">
        <f t="shared" si="0"/>
        <v>280</v>
      </c>
      <c r="E23" s="8" t="s">
        <v>27</v>
      </c>
    </row>
    <row r="26" spans="2:5" ht="15" customHeight="1" x14ac:dyDescent="0.25">
      <c r="B26" s="118" t="s">
        <v>28</v>
      </c>
      <c r="C26" s="118"/>
      <c r="D26" s="118"/>
      <c r="E26" s="118"/>
    </row>
    <row r="27" spans="2:5" ht="15" customHeight="1" x14ac:dyDescent="0.25">
      <c r="B27" s="4" t="s">
        <v>29</v>
      </c>
      <c r="C27" s="4" t="s">
        <v>30</v>
      </c>
      <c r="D27" s="4" t="s">
        <v>31</v>
      </c>
      <c r="E27" s="4" t="s">
        <v>32</v>
      </c>
    </row>
    <row r="28" spans="2:5" ht="15" customHeight="1" x14ac:dyDescent="0.25">
      <c r="B28" s="5" t="s">
        <v>33</v>
      </c>
      <c r="C28" s="6">
        <v>600</v>
      </c>
      <c r="D28" s="6">
        <v>1200</v>
      </c>
      <c r="E28" s="13">
        <f t="shared" ref="E28:E33" si="1">(D28-C28)/D28</f>
        <v>0.5</v>
      </c>
    </row>
    <row r="29" spans="2:5" ht="15" customHeight="1" x14ac:dyDescent="0.25">
      <c r="B29" s="5" t="s">
        <v>34</v>
      </c>
      <c r="C29" s="6">
        <v>800</v>
      </c>
      <c r="D29" s="6">
        <v>1600</v>
      </c>
      <c r="E29" s="13">
        <f t="shared" si="1"/>
        <v>0.5</v>
      </c>
    </row>
    <row r="30" spans="2:5" ht="15" customHeight="1" x14ac:dyDescent="0.25">
      <c r="B30" s="5" t="s">
        <v>35</v>
      </c>
      <c r="C30" s="6">
        <v>2500</v>
      </c>
      <c r="D30" s="6">
        <v>4000</v>
      </c>
      <c r="E30" s="13">
        <f t="shared" si="1"/>
        <v>0.375</v>
      </c>
    </row>
    <row r="31" spans="2:5" ht="15" customHeight="1" x14ac:dyDescent="0.25">
      <c r="B31" s="5" t="s">
        <v>36</v>
      </c>
      <c r="C31" s="6">
        <v>400</v>
      </c>
      <c r="D31" s="6">
        <v>900</v>
      </c>
      <c r="E31" s="13">
        <f t="shared" si="1"/>
        <v>0.55555555555555558</v>
      </c>
    </row>
    <row r="32" spans="2:5" ht="15" customHeight="1" x14ac:dyDescent="0.25">
      <c r="B32" s="5" t="s">
        <v>37</v>
      </c>
      <c r="C32" s="6">
        <v>250</v>
      </c>
      <c r="D32" s="6">
        <v>600</v>
      </c>
      <c r="E32" s="13">
        <f t="shared" si="1"/>
        <v>0.58333333333333337</v>
      </c>
    </row>
    <row r="33" spans="2:5" ht="15" customHeight="1" x14ac:dyDescent="0.25">
      <c r="B33" s="5" t="s">
        <v>38</v>
      </c>
      <c r="C33" s="6">
        <v>100</v>
      </c>
      <c r="D33" s="6">
        <v>220</v>
      </c>
      <c r="E33" s="13">
        <f t="shared" si="1"/>
        <v>0.54545454545454541</v>
      </c>
    </row>
    <row r="36" spans="2:5" ht="15" customHeight="1" x14ac:dyDescent="0.25">
      <c r="B36" s="120" t="s">
        <v>39</v>
      </c>
      <c r="C36" s="120"/>
      <c r="D36" s="120"/>
      <c r="E36" s="120"/>
    </row>
    <row r="37" spans="2:5" ht="17.25" customHeight="1" x14ac:dyDescent="0.25">
      <c r="B37" s="14" t="s">
        <v>40</v>
      </c>
      <c r="C37" s="117" t="s">
        <v>41</v>
      </c>
      <c r="D37" s="117"/>
      <c r="E37" s="117"/>
    </row>
    <row r="38" spans="2:5" ht="17.25" customHeight="1" x14ac:dyDescent="0.25">
      <c r="B38" s="15" t="s">
        <v>40</v>
      </c>
      <c r="C38" s="117" t="s">
        <v>42</v>
      </c>
      <c r="D38" s="117"/>
      <c r="E38" s="117"/>
    </row>
    <row r="39" spans="2:5" ht="17.25" customHeight="1" x14ac:dyDescent="0.25">
      <c r="B39" s="16" t="s">
        <v>40</v>
      </c>
      <c r="C39" s="117" t="s">
        <v>43</v>
      </c>
      <c r="D39" s="117"/>
      <c r="E39" s="117"/>
    </row>
    <row r="40" spans="2:5" ht="17.25" customHeight="1" x14ac:dyDescent="0.25">
      <c r="B40" s="17" t="s">
        <v>40</v>
      </c>
      <c r="C40" s="117" t="s">
        <v>44</v>
      </c>
      <c r="D40" s="117"/>
      <c r="E40" s="117"/>
    </row>
    <row r="41" spans="2:5" ht="17.25" customHeight="1" x14ac:dyDescent="0.25">
      <c r="B41" s="18" t="s">
        <v>40</v>
      </c>
      <c r="C41" s="117" t="s">
        <v>45</v>
      </c>
      <c r="D41" s="117"/>
      <c r="E41" s="117"/>
    </row>
  </sheetData>
  <mergeCells count="10">
    <mergeCell ref="B7:E7"/>
    <mergeCell ref="B16:E16"/>
    <mergeCell ref="B26:E26"/>
    <mergeCell ref="B36:E36"/>
    <mergeCell ref="A1:E4"/>
    <mergeCell ref="C37:E37"/>
    <mergeCell ref="C38:E38"/>
    <mergeCell ref="C39:E39"/>
    <mergeCell ref="C40:E40"/>
    <mergeCell ref="C41:E4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8433B"/>
  </sheetPr>
  <dimension ref="A1:U82"/>
  <sheetViews>
    <sheetView showGridLines="0" zoomScale="40" zoomScaleNormal="40" workbookViewId="0">
      <selection activeCell="AE60" sqref="AE60"/>
    </sheetView>
  </sheetViews>
  <sheetFormatPr defaultColWidth="8.7109375" defaultRowHeight="15" x14ac:dyDescent="0.25"/>
  <cols>
    <col min="1" max="1" width="3" style="1" customWidth="1"/>
    <col min="2" max="2" width="6" style="1" customWidth="1"/>
    <col min="3" max="3" width="15.5703125" style="1" customWidth="1"/>
    <col min="4" max="4" width="18" style="1" customWidth="1"/>
    <col min="5" max="5" width="16" style="1" customWidth="1"/>
    <col min="6" max="7" width="14" style="1" customWidth="1"/>
    <col min="8" max="10" width="18" style="1" customWidth="1"/>
    <col min="21" max="21" width="7.28515625" customWidth="1"/>
  </cols>
  <sheetData>
    <row r="1" spans="1:14" ht="15" customHeight="1" x14ac:dyDescent="0.25">
      <c r="A1" s="124" t="s">
        <v>46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15" customHeight="1" x14ac:dyDescent="0.25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4" ht="15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</row>
    <row r="4" spans="1:14" ht="15" customHeight="1" x14ac:dyDescent="0.25">
      <c r="A4" s="124"/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</row>
    <row r="5" spans="1:14" ht="15" customHeight="1" x14ac:dyDescent="0.25">
      <c r="B5" s="19" t="s">
        <v>47</v>
      </c>
      <c r="C5" s="20" t="str">
        <f>'⚙️ Configuración'!C8</f>
        <v>Mi Tienda Retail</v>
      </c>
      <c r="E5" s="19" t="s">
        <v>48</v>
      </c>
      <c r="F5" s="20" t="str">
        <f>'⚙️ Configuración'!C11&amp;" "&amp;TEXT('⚙️ Configuración'!C12,"0")</f>
        <v>Febrero 2024</v>
      </c>
    </row>
    <row r="7" spans="1:14" ht="36" customHeight="1" x14ac:dyDescent="0.25">
      <c r="B7" s="21" t="s">
        <v>49</v>
      </c>
      <c r="C7" s="21" t="s">
        <v>50</v>
      </c>
      <c r="D7" s="21" t="s">
        <v>51</v>
      </c>
      <c r="E7" s="22" t="s">
        <v>52</v>
      </c>
      <c r="F7" s="23" t="s">
        <v>53</v>
      </c>
      <c r="G7" s="23" t="s">
        <v>54</v>
      </c>
      <c r="H7" s="24" t="s">
        <v>55</v>
      </c>
      <c r="I7" s="23" t="s">
        <v>56</v>
      </c>
      <c r="J7" s="25" t="s">
        <v>57</v>
      </c>
      <c r="K7" s="25" t="s">
        <v>58</v>
      </c>
      <c r="M7" s="26" t="s">
        <v>59</v>
      </c>
      <c r="N7" s="27" t="s">
        <v>60</v>
      </c>
    </row>
    <row r="8" spans="1:14" ht="18" customHeight="1" x14ac:dyDescent="0.25">
      <c r="B8" s="28">
        <v>1</v>
      </c>
      <c r="C8" s="29">
        <f>DATE('⚙️ Configuración'!C12,2,1)</f>
        <v>45323</v>
      </c>
      <c r="D8" s="30" t="s">
        <v>61</v>
      </c>
      <c r="E8" s="31">
        <v>18500</v>
      </c>
      <c r="F8" s="32">
        <v>120</v>
      </c>
      <c r="G8" s="32">
        <v>42</v>
      </c>
      <c r="H8" s="33">
        <f t="shared" ref="H8:H34" si="0">IF(G8&gt;0,E8/G8,0)</f>
        <v>440.47619047619048</v>
      </c>
      <c r="I8" s="31">
        <v>9250</v>
      </c>
      <c r="J8" s="33">
        <f t="shared" ref="J8:J33" si="1">E8-I8</f>
        <v>9250</v>
      </c>
      <c r="K8" s="34">
        <f t="shared" ref="K8:K34" si="2">IF(E8&gt;0,(E8-I8)/E8,0)</f>
        <v>0.5</v>
      </c>
      <c r="M8" s="35">
        <f>'⚙️ Configuración'!$C$18/'⚙️ Configuración'!$C$13</f>
        <v>19230.76923076923</v>
      </c>
      <c r="N8" s="36">
        <f t="shared" ref="N8:N33" si="3">IF(F8&gt;0,G8/F8,0)</f>
        <v>0.35</v>
      </c>
    </row>
    <row r="9" spans="1:14" ht="18" customHeight="1" x14ac:dyDescent="0.25">
      <c r="B9" s="37">
        <v>2</v>
      </c>
      <c r="C9" s="38">
        <f>DATE('⚙️ Configuración'!C12,2,2)</f>
        <v>45324</v>
      </c>
      <c r="D9" s="39" t="s">
        <v>62</v>
      </c>
      <c r="E9" s="31">
        <v>22000</v>
      </c>
      <c r="F9" s="32">
        <v>145</v>
      </c>
      <c r="G9" s="32">
        <v>52</v>
      </c>
      <c r="H9" s="40">
        <f t="shared" si="0"/>
        <v>423.07692307692309</v>
      </c>
      <c r="I9" s="31">
        <v>10900</v>
      </c>
      <c r="J9" s="40">
        <f t="shared" si="1"/>
        <v>11100</v>
      </c>
      <c r="K9" s="41">
        <f t="shared" si="2"/>
        <v>0.50454545454545452</v>
      </c>
      <c r="M9" s="35">
        <f>'⚙️ Configuración'!$C$18/'⚙️ Configuración'!$C$13</f>
        <v>19230.76923076923</v>
      </c>
      <c r="N9" s="36">
        <f t="shared" si="3"/>
        <v>0.35862068965517241</v>
      </c>
    </row>
    <row r="10" spans="1:14" ht="18" customHeight="1" x14ac:dyDescent="0.25">
      <c r="B10" s="28">
        <v>3</v>
      </c>
      <c r="C10" s="29">
        <f>DATE('⚙️ Configuración'!C12,2,3)</f>
        <v>45325</v>
      </c>
      <c r="D10" s="30" t="s">
        <v>63</v>
      </c>
      <c r="E10" s="31">
        <v>19800</v>
      </c>
      <c r="F10" s="32">
        <v>132</v>
      </c>
      <c r="G10" s="32">
        <v>47</v>
      </c>
      <c r="H10" s="33">
        <f t="shared" si="0"/>
        <v>421.27659574468083</v>
      </c>
      <c r="I10" s="31">
        <v>9800</v>
      </c>
      <c r="J10" s="33">
        <f t="shared" si="1"/>
        <v>10000</v>
      </c>
      <c r="K10" s="34">
        <f t="shared" si="2"/>
        <v>0.50505050505050508</v>
      </c>
      <c r="M10" s="35">
        <f>'⚙️ Configuración'!$C$18/'⚙️ Configuración'!$C$13</f>
        <v>19230.76923076923</v>
      </c>
      <c r="N10" s="36">
        <f t="shared" si="3"/>
        <v>0.35606060606060608</v>
      </c>
    </row>
    <row r="11" spans="1:14" ht="18" customHeight="1" x14ac:dyDescent="0.25">
      <c r="B11" s="37">
        <v>4</v>
      </c>
      <c r="C11" s="38">
        <f>DATE('⚙️ Configuración'!C12,2,4)</f>
        <v>45326</v>
      </c>
      <c r="D11" s="39" t="s">
        <v>64</v>
      </c>
      <c r="E11" s="31">
        <v>24500</v>
      </c>
      <c r="F11" s="32">
        <v>160</v>
      </c>
      <c r="G11" s="32">
        <v>58</v>
      </c>
      <c r="H11" s="40">
        <f t="shared" si="0"/>
        <v>422.41379310344826</v>
      </c>
      <c r="I11" s="31">
        <v>12000</v>
      </c>
      <c r="J11" s="40">
        <f t="shared" si="1"/>
        <v>12500</v>
      </c>
      <c r="K11" s="41">
        <f t="shared" si="2"/>
        <v>0.51020408163265307</v>
      </c>
      <c r="M11" s="35">
        <f>'⚙️ Configuración'!$C$18/'⚙️ Configuración'!$C$13</f>
        <v>19230.76923076923</v>
      </c>
      <c r="N11" s="36">
        <f t="shared" si="3"/>
        <v>0.36249999999999999</v>
      </c>
    </row>
    <row r="12" spans="1:14" ht="18" customHeight="1" x14ac:dyDescent="0.25">
      <c r="B12" s="28">
        <v>5</v>
      </c>
      <c r="C12" s="29">
        <f>DATE('⚙️ Configuración'!C12,2,5)</f>
        <v>45327</v>
      </c>
      <c r="D12" s="30" t="s">
        <v>65</v>
      </c>
      <c r="E12" s="31">
        <v>31000</v>
      </c>
      <c r="F12" s="32">
        <v>200</v>
      </c>
      <c r="G12" s="32">
        <v>72</v>
      </c>
      <c r="H12" s="33">
        <f t="shared" si="0"/>
        <v>430.55555555555554</v>
      </c>
      <c r="I12" s="31">
        <v>15200</v>
      </c>
      <c r="J12" s="33">
        <f t="shared" si="1"/>
        <v>15800</v>
      </c>
      <c r="K12" s="34">
        <f t="shared" si="2"/>
        <v>0.50967741935483868</v>
      </c>
      <c r="M12" s="35">
        <f>'⚙️ Configuración'!$C$18/'⚙️ Configuración'!$C$13</f>
        <v>19230.76923076923</v>
      </c>
      <c r="N12" s="36">
        <f t="shared" si="3"/>
        <v>0.36</v>
      </c>
    </row>
    <row r="13" spans="1:14" ht="18" customHeight="1" x14ac:dyDescent="0.25">
      <c r="B13" s="37">
        <v>6</v>
      </c>
      <c r="C13" s="38">
        <f>DATE('⚙️ Configuración'!C12,2,6)</f>
        <v>45328</v>
      </c>
      <c r="D13" s="39" t="s">
        <v>66</v>
      </c>
      <c r="E13" s="31">
        <v>28000</v>
      </c>
      <c r="F13" s="32">
        <v>185</v>
      </c>
      <c r="G13" s="32">
        <v>66</v>
      </c>
      <c r="H13" s="40">
        <f t="shared" si="0"/>
        <v>424.24242424242425</v>
      </c>
      <c r="I13" s="31">
        <v>13600</v>
      </c>
      <c r="J13" s="40">
        <f t="shared" si="1"/>
        <v>14400</v>
      </c>
      <c r="K13" s="41">
        <f t="shared" si="2"/>
        <v>0.51428571428571423</v>
      </c>
      <c r="M13" s="35">
        <f>'⚙️ Configuración'!$C$18/'⚙️ Configuración'!$C$13</f>
        <v>19230.76923076923</v>
      </c>
      <c r="N13" s="36">
        <f t="shared" si="3"/>
        <v>0.35675675675675678</v>
      </c>
    </row>
    <row r="14" spans="1:14" ht="18" customHeight="1" x14ac:dyDescent="0.25">
      <c r="B14" s="28">
        <v>7</v>
      </c>
      <c r="C14" s="29">
        <f>DATE('⚙️ Configuración'!C12,2,7)</f>
        <v>45329</v>
      </c>
      <c r="D14" s="30" t="s">
        <v>61</v>
      </c>
      <c r="E14" s="31">
        <v>17000</v>
      </c>
      <c r="F14" s="32">
        <v>110</v>
      </c>
      <c r="G14" s="32">
        <v>39</v>
      </c>
      <c r="H14" s="33">
        <f t="shared" si="0"/>
        <v>435.89743589743591</v>
      </c>
      <c r="I14" s="31">
        <v>8400</v>
      </c>
      <c r="J14" s="33">
        <f t="shared" si="1"/>
        <v>8600</v>
      </c>
      <c r="K14" s="34">
        <f t="shared" si="2"/>
        <v>0.50588235294117645</v>
      </c>
      <c r="M14" s="35">
        <f>'⚙️ Configuración'!$C$18/'⚙️ Configuración'!$C$13</f>
        <v>19230.76923076923</v>
      </c>
      <c r="N14" s="36">
        <f t="shared" si="3"/>
        <v>0.35454545454545455</v>
      </c>
    </row>
    <row r="15" spans="1:14" ht="18" customHeight="1" x14ac:dyDescent="0.25">
      <c r="B15" s="37">
        <v>8</v>
      </c>
      <c r="C15" s="38">
        <f>DATE('⚙️ Configuración'!C12,2,8)</f>
        <v>45330</v>
      </c>
      <c r="D15" s="39" t="s">
        <v>62</v>
      </c>
      <c r="E15" s="31">
        <v>20500</v>
      </c>
      <c r="F15" s="32">
        <v>135</v>
      </c>
      <c r="G15" s="32">
        <v>48</v>
      </c>
      <c r="H15" s="40">
        <f t="shared" si="0"/>
        <v>427.08333333333331</v>
      </c>
      <c r="I15" s="31">
        <v>10100</v>
      </c>
      <c r="J15" s="40">
        <f t="shared" si="1"/>
        <v>10400</v>
      </c>
      <c r="K15" s="41">
        <f t="shared" si="2"/>
        <v>0.50731707317073171</v>
      </c>
      <c r="M15" s="35">
        <f>'⚙️ Configuración'!$C$18/'⚙️ Configuración'!$C$13</f>
        <v>19230.76923076923</v>
      </c>
      <c r="N15" s="36">
        <f t="shared" si="3"/>
        <v>0.35555555555555557</v>
      </c>
    </row>
    <row r="16" spans="1:14" ht="18" customHeight="1" x14ac:dyDescent="0.25">
      <c r="B16" s="28">
        <v>9</v>
      </c>
      <c r="C16" s="29">
        <f>DATE('⚙️ Configuración'!C12,2,9)</f>
        <v>45331</v>
      </c>
      <c r="D16" s="30" t="s">
        <v>63</v>
      </c>
      <c r="E16" s="31">
        <v>23000</v>
      </c>
      <c r="F16" s="32">
        <v>150</v>
      </c>
      <c r="G16" s="32">
        <v>54</v>
      </c>
      <c r="H16" s="33">
        <f t="shared" si="0"/>
        <v>425.92592592592592</v>
      </c>
      <c r="I16" s="31">
        <v>11300</v>
      </c>
      <c r="J16" s="33">
        <f t="shared" si="1"/>
        <v>11700</v>
      </c>
      <c r="K16" s="34">
        <f t="shared" si="2"/>
        <v>0.50869565217391299</v>
      </c>
      <c r="M16" s="35">
        <f>'⚙️ Configuración'!$C$18/'⚙️ Configuración'!$C$13</f>
        <v>19230.76923076923</v>
      </c>
      <c r="N16" s="36">
        <f t="shared" si="3"/>
        <v>0.36</v>
      </c>
    </row>
    <row r="17" spans="2:14" ht="18" customHeight="1" x14ac:dyDescent="0.25">
      <c r="B17" s="37">
        <v>10</v>
      </c>
      <c r="C17" s="38">
        <f>DATE('⚙️ Configuración'!C12,2,10)</f>
        <v>45332</v>
      </c>
      <c r="D17" s="39" t="s">
        <v>64</v>
      </c>
      <c r="E17" s="31">
        <v>25500</v>
      </c>
      <c r="F17" s="32">
        <v>168</v>
      </c>
      <c r="G17" s="32">
        <v>61</v>
      </c>
      <c r="H17" s="40">
        <f t="shared" si="0"/>
        <v>418.03278688524591</v>
      </c>
      <c r="I17" s="31">
        <v>12500</v>
      </c>
      <c r="J17" s="40">
        <f t="shared" si="1"/>
        <v>13000</v>
      </c>
      <c r="K17" s="41">
        <f t="shared" si="2"/>
        <v>0.50980392156862742</v>
      </c>
      <c r="M17" s="35">
        <f>'⚙️ Configuración'!$C$18/'⚙️ Configuración'!$C$13</f>
        <v>19230.76923076923</v>
      </c>
      <c r="N17" s="36">
        <f t="shared" si="3"/>
        <v>0.36309523809523808</v>
      </c>
    </row>
    <row r="18" spans="2:14" ht="18" customHeight="1" x14ac:dyDescent="0.25">
      <c r="B18" s="28">
        <v>11</v>
      </c>
      <c r="C18" s="29">
        <f>DATE('⚙️ Configuración'!C12,2,11)</f>
        <v>45333</v>
      </c>
      <c r="D18" s="30" t="s">
        <v>65</v>
      </c>
      <c r="E18" s="31">
        <v>30000</v>
      </c>
      <c r="F18" s="32">
        <v>195</v>
      </c>
      <c r="G18" s="32">
        <v>70</v>
      </c>
      <c r="H18" s="33">
        <f t="shared" si="0"/>
        <v>428.57142857142856</v>
      </c>
      <c r="I18" s="31">
        <v>14700</v>
      </c>
      <c r="J18" s="33">
        <f t="shared" si="1"/>
        <v>15300</v>
      </c>
      <c r="K18" s="34">
        <f t="shared" si="2"/>
        <v>0.51</v>
      </c>
      <c r="M18" s="35">
        <f>'⚙️ Configuración'!$C$18/'⚙️ Configuración'!$C$13</f>
        <v>19230.76923076923</v>
      </c>
      <c r="N18" s="36">
        <f t="shared" si="3"/>
        <v>0.35897435897435898</v>
      </c>
    </row>
    <row r="19" spans="2:14" ht="18" customHeight="1" x14ac:dyDescent="0.25">
      <c r="B19" s="37">
        <v>12</v>
      </c>
      <c r="C19" s="38">
        <f>DATE('⚙️ Configuración'!C12,2,12)</f>
        <v>45334</v>
      </c>
      <c r="D19" s="39" t="s">
        <v>66</v>
      </c>
      <c r="E19" s="31">
        <v>27500</v>
      </c>
      <c r="F19" s="32">
        <v>180</v>
      </c>
      <c r="G19" s="32">
        <v>65</v>
      </c>
      <c r="H19" s="40">
        <f t="shared" si="0"/>
        <v>423.07692307692309</v>
      </c>
      <c r="I19" s="31">
        <v>13400</v>
      </c>
      <c r="J19" s="40">
        <f t="shared" si="1"/>
        <v>14100</v>
      </c>
      <c r="K19" s="41">
        <f t="shared" si="2"/>
        <v>0.5127272727272727</v>
      </c>
      <c r="M19" s="35">
        <f>'⚙️ Configuración'!$C$18/'⚙️ Configuración'!$C$13</f>
        <v>19230.76923076923</v>
      </c>
      <c r="N19" s="36">
        <f t="shared" si="3"/>
        <v>0.3611111111111111</v>
      </c>
    </row>
    <row r="20" spans="2:14" ht="18" customHeight="1" x14ac:dyDescent="0.25">
      <c r="B20" s="28">
        <v>13</v>
      </c>
      <c r="C20" s="29">
        <f>DATE('⚙️ Configuración'!C12,2,13)</f>
        <v>45335</v>
      </c>
      <c r="D20" s="30" t="s">
        <v>61</v>
      </c>
      <c r="E20" s="31">
        <v>16500</v>
      </c>
      <c r="F20" s="32">
        <v>108</v>
      </c>
      <c r="G20" s="32">
        <v>38</v>
      </c>
      <c r="H20" s="33">
        <f t="shared" si="0"/>
        <v>434.21052631578948</v>
      </c>
      <c r="I20" s="31">
        <v>8100</v>
      </c>
      <c r="J20" s="33">
        <f t="shared" si="1"/>
        <v>8400</v>
      </c>
      <c r="K20" s="34">
        <f t="shared" si="2"/>
        <v>0.50909090909090904</v>
      </c>
      <c r="M20" s="35">
        <f>'⚙️ Configuración'!$C$18/'⚙️ Configuración'!$C$13</f>
        <v>19230.76923076923</v>
      </c>
      <c r="N20" s="36">
        <f t="shared" si="3"/>
        <v>0.35185185185185186</v>
      </c>
    </row>
    <row r="21" spans="2:14" ht="18" customHeight="1" x14ac:dyDescent="0.25">
      <c r="B21" s="37">
        <v>14</v>
      </c>
      <c r="C21" s="38">
        <f>DATE('⚙️ Configuración'!C12,2,14)</f>
        <v>45336</v>
      </c>
      <c r="D21" s="39" t="s">
        <v>62</v>
      </c>
      <c r="E21" s="31">
        <v>21000</v>
      </c>
      <c r="F21" s="32">
        <v>140</v>
      </c>
      <c r="G21" s="32">
        <v>50</v>
      </c>
      <c r="H21" s="40">
        <f t="shared" si="0"/>
        <v>420</v>
      </c>
      <c r="I21" s="31">
        <v>10300</v>
      </c>
      <c r="J21" s="40">
        <f t="shared" si="1"/>
        <v>10700</v>
      </c>
      <c r="K21" s="41">
        <f t="shared" si="2"/>
        <v>0.50952380952380949</v>
      </c>
      <c r="M21" s="35">
        <f>'⚙️ Configuración'!$C$18/'⚙️ Configuración'!$C$13</f>
        <v>19230.76923076923</v>
      </c>
      <c r="N21" s="36">
        <f t="shared" si="3"/>
        <v>0.35714285714285715</v>
      </c>
    </row>
    <row r="22" spans="2:14" ht="18" customHeight="1" x14ac:dyDescent="0.25">
      <c r="B22" s="28">
        <v>15</v>
      </c>
      <c r="C22" s="29">
        <f>DATE('⚙️ Configuración'!C12,2,15)</f>
        <v>45337</v>
      </c>
      <c r="D22" s="30" t="s">
        <v>63</v>
      </c>
      <c r="E22" s="31">
        <v>22500</v>
      </c>
      <c r="F22" s="32">
        <v>148</v>
      </c>
      <c r="G22" s="32">
        <v>53</v>
      </c>
      <c r="H22" s="33">
        <f t="shared" si="0"/>
        <v>424.52830188679246</v>
      </c>
      <c r="I22" s="31">
        <v>11000</v>
      </c>
      <c r="J22" s="33">
        <f t="shared" si="1"/>
        <v>11500</v>
      </c>
      <c r="K22" s="34">
        <f t="shared" si="2"/>
        <v>0.51111111111111107</v>
      </c>
      <c r="M22" s="35">
        <f>'⚙️ Configuración'!$C$18/'⚙️ Configuración'!$C$13</f>
        <v>19230.76923076923</v>
      </c>
      <c r="N22" s="36">
        <f t="shared" si="3"/>
        <v>0.35810810810810811</v>
      </c>
    </row>
    <row r="23" spans="2:14" ht="18" customHeight="1" x14ac:dyDescent="0.25">
      <c r="B23" s="37">
        <v>16</v>
      </c>
      <c r="C23" s="38">
        <f>DATE('⚙️ Configuración'!C12,2,16)</f>
        <v>45338</v>
      </c>
      <c r="D23" s="39" t="s">
        <v>64</v>
      </c>
      <c r="E23" s="31">
        <v>26000</v>
      </c>
      <c r="F23" s="32">
        <v>170</v>
      </c>
      <c r="G23" s="32">
        <v>62</v>
      </c>
      <c r="H23" s="40">
        <f t="shared" si="0"/>
        <v>419.35483870967744</v>
      </c>
      <c r="I23" s="31">
        <v>12700</v>
      </c>
      <c r="J23" s="40">
        <f t="shared" si="1"/>
        <v>13300</v>
      </c>
      <c r="K23" s="41">
        <f t="shared" si="2"/>
        <v>0.5115384615384615</v>
      </c>
      <c r="M23" s="35">
        <f>'⚙️ Configuración'!$C$18/'⚙️ Configuración'!$C$13</f>
        <v>19230.76923076923</v>
      </c>
      <c r="N23" s="36">
        <f t="shared" si="3"/>
        <v>0.36470588235294116</v>
      </c>
    </row>
    <row r="24" spans="2:14" ht="18" customHeight="1" x14ac:dyDescent="0.25">
      <c r="B24" s="28">
        <v>17</v>
      </c>
      <c r="C24" s="29">
        <f>DATE('⚙️ Configuración'!C12,2,17)</f>
        <v>45339</v>
      </c>
      <c r="D24" s="30" t="s">
        <v>65</v>
      </c>
      <c r="E24" s="31">
        <v>32000</v>
      </c>
      <c r="F24" s="32">
        <v>205</v>
      </c>
      <c r="G24" s="32">
        <v>74</v>
      </c>
      <c r="H24" s="33">
        <f t="shared" si="0"/>
        <v>432.43243243243245</v>
      </c>
      <c r="I24" s="31">
        <v>15600</v>
      </c>
      <c r="J24" s="33">
        <f t="shared" si="1"/>
        <v>16400</v>
      </c>
      <c r="K24" s="34">
        <f t="shared" si="2"/>
        <v>0.51249999999999996</v>
      </c>
      <c r="M24" s="35">
        <f>'⚙️ Configuración'!$C$18/'⚙️ Configuración'!$C$13</f>
        <v>19230.76923076923</v>
      </c>
      <c r="N24" s="36">
        <f t="shared" si="3"/>
        <v>0.36097560975609755</v>
      </c>
    </row>
    <row r="25" spans="2:14" ht="18" customHeight="1" x14ac:dyDescent="0.25">
      <c r="B25" s="37">
        <v>18</v>
      </c>
      <c r="C25" s="38">
        <f>DATE('⚙️ Configuración'!C12,2,18)</f>
        <v>45340</v>
      </c>
      <c r="D25" s="39" t="s">
        <v>66</v>
      </c>
      <c r="E25" s="31">
        <v>29000</v>
      </c>
      <c r="F25" s="32">
        <v>188</v>
      </c>
      <c r="G25" s="32">
        <v>68</v>
      </c>
      <c r="H25" s="40">
        <f t="shared" si="0"/>
        <v>426.47058823529414</v>
      </c>
      <c r="I25" s="31">
        <v>14100</v>
      </c>
      <c r="J25" s="40">
        <f t="shared" si="1"/>
        <v>14900</v>
      </c>
      <c r="K25" s="41">
        <f t="shared" si="2"/>
        <v>0.51379310344827589</v>
      </c>
      <c r="M25" s="35">
        <f>'⚙️ Configuración'!$C$18/'⚙️ Configuración'!$C$13</f>
        <v>19230.76923076923</v>
      </c>
      <c r="N25" s="36">
        <f t="shared" si="3"/>
        <v>0.36170212765957449</v>
      </c>
    </row>
    <row r="26" spans="2:14" ht="18" customHeight="1" x14ac:dyDescent="0.25">
      <c r="B26" s="28">
        <v>19</v>
      </c>
      <c r="C26" s="29">
        <f>DATE('⚙️ Configuración'!C12,2,19)</f>
        <v>45341</v>
      </c>
      <c r="D26" s="30" t="s">
        <v>61</v>
      </c>
      <c r="E26" s="31">
        <v>18000</v>
      </c>
      <c r="F26" s="32">
        <v>115</v>
      </c>
      <c r="G26" s="32">
        <v>41</v>
      </c>
      <c r="H26" s="33">
        <f t="shared" si="0"/>
        <v>439.02439024390242</v>
      </c>
      <c r="I26" s="31">
        <v>8800</v>
      </c>
      <c r="J26" s="33">
        <f t="shared" si="1"/>
        <v>9200</v>
      </c>
      <c r="K26" s="34">
        <f t="shared" si="2"/>
        <v>0.51111111111111107</v>
      </c>
      <c r="M26" s="35">
        <f>'⚙️ Configuración'!$C$18/'⚙️ Configuración'!$C$13</f>
        <v>19230.76923076923</v>
      </c>
      <c r="N26" s="36">
        <f t="shared" si="3"/>
        <v>0.35652173913043478</v>
      </c>
    </row>
    <row r="27" spans="2:14" ht="18" customHeight="1" x14ac:dyDescent="0.25">
      <c r="B27" s="37">
        <v>20</v>
      </c>
      <c r="C27" s="38">
        <f>DATE('⚙️ Configuración'!C12,2,20)</f>
        <v>45342</v>
      </c>
      <c r="D27" s="39" t="s">
        <v>62</v>
      </c>
      <c r="E27" s="31">
        <v>23500</v>
      </c>
      <c r="F27" s="32">
        <v>155</v>
      </c>
      <c r="G27" s="32">
        <v>56</v>
      </c>
      <c r="H27" s="40">
        <f t="shared" si="0"/>
        <v>419.64285714285717</v>
      </c>
      <c r="I27" s="31">
        <v>11500</v>
      </c>
      <c r="J27" s="40">
        <f t="shared" si="1"/>
        <v>12000</v>
      </c>
      <c r="K27" s="41">
        <f t="shared" si="2"/>
        <v>0.51063829787234039</v>
      </c>
      <c r="M27" s="35">
        <f>'⚙️ Configuración'!$C$18/'⚙️ Configuración'!$C$13</f>
        <v>19230.76923076923</v>
      </c>
      <c r="N27" s="36">
        <f t="shared" si="3"/>
        <v>0.36129032258064514</v>
      </c>
    </row>
    <row r="28" spans="2:14" ht="18" customHeight="1" x14ac:dyDescent="0.25">
      <c r="B28" s="28">
        <v>21</v>
      </c>
      <c r="C28" s="29">
        <f>DATE('⚙️ Configuración'!C12,2,21)</f>
        <v>45343</v>
      </c>
      <c r="D28" s="30" t="s">
        <v>63</v>
      </c>
      <c r="E28" s="31">
        <v>21000</v>
      </c>
      <c r="F28" s="32">
        <v>140</v>
      </c>
      <c r="G28" s="32">
        <v>50</v>
      </c>
      <c r="H28" s="33">
        <f t="shared" si="0"/>
        <v>420</v>
      </c>
      <c r="I28" s="31">
        <v>10300</v>
      </c>
      <c r="J28" s="33">
        <f t="shared" si="1"/>
        <v>10700</v>
      </c>
      <c r="K28" s="34">
        <f t="shared" si="2"/>
        <v>0.50952380952380949</v>
      </c>
      <c r="M28" s="35">
        <f>'⚙️ Configuración'!$C$18/'⚙️ Configuración'!$C$13</f>
        <v>19230.76923076923</v>
      </c>
      <c r="N28" s="36">
        <f t="shared" si="3"/>
        <v>0.35714285714285715</v>
      </c>
    </row>
    <row r="29" spans="2:14" ht="18" customHeight="1" x14ac:dyDescent="0.25">
      <c r="B29" s="37">
        <v>22</v>
      </c>
      <c r="C29" s="38">
        <f>DATE('⚙️ Configuración'!C12,2,22)</f>
        <v>45344</v>
      </c>
      <c r="D29" s="39" t="s">
        <v>64</v>
      </c>
      <c r="E29" s="31">
        <v>27000</v>
      </c>
      <c r="F29" s="32">
        <v>175</v>
      </c>
      <c r="G29" s="32">
        <v>63</v>
      </c>
      <c r="H29" s="40">
        <f t="shared" si="0"/>
        <v>428.57142857142856</v>
      </c>
      <c r="I29" s="31">
        <v>13200</v>
      </c>
      <c r="J29" s="40">
        <f t="shared" si="1"/>
        <v>13800</v>
      </c>
      <c r="K29" s="41">
        <f t="shared" si="2"/>
        <v>0.51111111111111107</v>
      </c>
      <c r="M29" s="35">
        <f>'⚙️ Configuración'!$C$18/'⚙️ Configuración'!$C$13</f>
        <v>19230.76923076923</v>
      </c>
      <c r="N29" s="36">
        <f t="shared" si="3"/>
        <v>0.36</v>
      </c>
    </row>
    <row r="30" spans="2:14" ht="18" customHeight="1" x14ac:dyDescent="0.25">
      <c r="B30" s="28">
        <v>23</v>
      </c>
      <c r="C30" s="29">
        <f>DATE('⚙️ Configuración'!C12,2,23)</f>
        <v>45345</v>
      </c>
      <c r="D30" s="30" t="s">
        <v>65</v>
      </c>
      <c r="E30" s="31">
        <v>33000</v>
      </c>
      <c r="F30" s="32">
        <v>210</v>
      </c>
      <c r="G30" s="32">
        <v>76</v>
      </c>
      <c r="H30" s="33">
        <f t="shared" si="0"/>
        <v>434.21052631578948</v>
      </c>
      <c r="I30" s="31">
        <v>16100</v>
      </c>
      <c r="J30" s="33">
        <f t="shared" si="1"/>
        <v>16900</v>
      </c>
      <c r="K30" s="34">
        <f t="shared" si="2"/>
        <v>0.51212121212121209</v>
      </c>
      <c r="M30" s="35">
        <f>'⚙️ Configuración'!$C$18/'⚙️ Configuración'!$C$13</f>
        <v>19230.76923076923</v>
      </c>
      <c r="N30" s="36">
        <f t="shared" si="3"/>
        <v>0.3619047619047619</v>
      </c>
    </row>
    <row r="31" spans="2:14" ht="18" customHeight="1" x14ac:dyDescent="0.25">
      <c r="B31" s="37">
        <v>24</v>
      </c>
      <c r="C31" s="38">
        <f>DATE('⚙️ Configuración'!C12,2,24)</f>
        <v>45346</v>
      </c>
      <c r="D31" s="39" t="s">
        <v>66</v>
      </c>
      <c r="E31" s="31">
        <v>30500</v>
      </c>
      <c r="F31" s="32">
        <v>195</v>
      </c>
      <c r="G31" s="32">
        <v>70</v>
      </c>
      <c r="H31" s="40">
        <f t="shared" si="0"/>
        <v>435.71428571428572</v>
      </c>
      <c r="I31" s="31">
        <v>14800</v>
      </c>
      <c r="J31" s="40">
        <f t="shared" si="1"/>
        <v>15700</v>
      </c>
      <c r="K31" s="41">
        <f t="shared" si="2"/>
        <v>0.51475409836065578</v>
      </c>
      <c r="M31" s="35">
        <f>'⚙️ Configuración'!$C$18/'⚙️ Configuración'!$C$13</f>
        <v>19230.76923076923</v>
      </c>
      <c r="N31" s="36">
        <f t="shared" si="3"/>
        <v>0.35897435897435898</v>
      </c>
    </row>
    <row r="32" spans="2:14" ht="18" customHeight="1" x14ac:dyDescent="0.25">
      <c r="B32" s="28">
        <v>25</v>
      </c>
      <c r="C32" s="29">
        <f>DATE('⚙️ Configuración'!C12,2,25)</f>
        <v>45347</v>
      </c>
      <c r="D32" s="30" t="s">
        <v>61</v>
      </c>
      <c r="E32" s="31">
        <v>19000</v>
      </c>
      <c r="F32" s="32">
        <v>122</v>
      </c>
      <c r="G32" s="32">
        <v>44</v>
      </c>
      <c r="H32" s="33">
        <f t="shared" si="0"/>
        <v>431.81818181818181</v>
      </c>
      <c r="I32" s="31">
        <v>9300</v>
      </c>
      <c r="J32" s="33">
        <f t="shared" si="1"/>
        <v>9700</v>
      </c>
      <c r="K32" s="34">
        <f t="shared" si="2"/>
        <v>0.51052631578947372</v>
      </c>
      <c r="M32" s="35">
        <f>'⚙️ Configuración'!$C$18/'⚙️ Configuración'!$C$13</f>
        <v>19230.76923076923</v>
      </c>
      <c r="N32" s="36">
        <f t="shared" si="3"/>
        <v>0.36065573770491804</v>
      </c>
    </row>
    <row r="33" spans="1:21" ht="18" customHeight="1" x14ac:dyDescent="0.25">
      <c r="B33" s="37">
        <v>26</v>
      </c>
      <c r="C33" s="38">
        <f>DATE('⚙️ Configuración'!C12,2,26)</f>
        <v>45348</v>
      </c>
      <c r="D33" s="39" t="s">
        <v>62</v>
      </c>
      <c r="E33" s="31">
        <v>24000</v>
      </c>
      <c r="F33" s="32">
        <v>158</v>
      </c>
      <c r="G33" s="32">
        <v>57</v>
      </c>
      <c r="H33" s="40">
        <f t="shared" si="0"/>
        <v>421.05263157894734</v>
      </c>
      <c r="I33" s="31">
        <v>11700</v>
      </c>
      <c r="J33" s="40">
        <f t="shared" si="1"/>
        <v>12300</v>
      </c>
      <c r="K33" s="41">
        <f t="shared" si="2"/>
        <v>0.51249999999999996</v>
      </c>
      <c r="M33" s="35">
        <f>'⚙️ Configuración'!$C$18/'⚙️ Configuración'!$C$13</f>
        <v>19230.76923076923</v>
      </c>
      <c r="N33" s="36">
        <f t="shared" si="3"/>
        <v>0.36075949367088606</v>
      </c>
    </row>
    <row r="34" spans="1:21" ht="19.5" customHeight="1" x14ac:dyDescent="0.25">
      <c r="B34" s="122" t="s">
        <v>67</v>
      </c>
      <c r="C34" s="122"/>
      <c r="D34" s="122"/>
      <c r="E34" s="102">
        <f>SUM(E8:E33)</f>
        <v>630300</v>
      </c>
      <c r="F34" s="102">
        <f>SUM(F8:F33)</f>
        <v>4109</v>
      </c>
      <c r="G34" s="102">
        <f>SUM(G8:G33)</f>
        <v>1476</v>
      </c>
      <c r="H34" s="102">
        <f t="shared" si="0"/>
        <v>427.03252032520328</v>
      </c>
      <c r="I34" s="102">
        <f>SUM(I8:I33)</f>
        <v>308650</v>
      </c>
      <c r="J34" s="102">
        <f>SUM(J8:J33)</f>
        <v>321650</v>
      </c>
      <c r="K34" s="103">
        <f t="shared" si="2"/>
        <v>0.51031254957956529</v>
      </c>
      <c r="L34" s="100"/>
      <c r="M34" s="100"/>
      <c r="N34" s="100"/>
    </row>
    <row r="36" spans="1:21" ht="48.75" customHeight="1" x14ac:dyDescent="0.25">
      <c r="B36" s="123" t="s">
        <v>46</v>
      </c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</row>
    <row r="37" spans="1:21" s="99" customFormat="1" ht="27" customHeight="1" x14ac:dyDescent="0.25">
      <c r="A37" s="98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10"/>
      <c r="M37" s="110"/>
      <c r="N37" s="110"/>
      <c r="O37" s="110"/>
      <c r="P37" s="110"/>
      <c r="Q37" s="110"/>
      <c r="R37" s="110"/>
      <c r="S37" s="110"/>
      <c r="T37" s="110"/>
      <c r="U37" s="110"/>
    </row>
    <row r="38" spans="1:21" s="99" customFormat="1" ht="15" customHeight="1" x14ac:dyDescent="0.25">
      <c r="A38" s="9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10"/>
      <c r="M38" s="110"/>
      <c r="N38" s="110"/>
      <c r="O38" s="110"/>
      <c r="P38" s="110"/>
      <c r="Q38" s="110"/>
      <c r="R38" s="110"/>
      <c r="S38" s="110"/>
      <c r="T38" s="110"/>
      <c r="U38" s="110"/>
    </row>
    <row r="39" spans="1:21" s="99" customFormat="1" ht="15" customHeight="1" x14ac:dyDescent="0.25">
      <c r="A39" s="98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10"/>
      <c r="M39" s="110"/>
      <c r="N39" s="110"/>
      <c r="O39" s="110"/>
      <c r="P39" s="110"/>
      <c r="Q39" s="110"/>
      <c r="R39" s="110"/>
      <c r="S39" s="110"/>
      <c r="T39" s="110"/>
      <c r="U39" s="110"/>
    </row>
    <row r="40" spans="1:21" x14ac:dyDescent="0.25">
      <c r="B40" s="111"/>
      <c r="C40" s="111"/>
      <c r="D40" s="111"/>
      <c r="E40" s="111"/>
      <c r="F40" s="111"/>
      <c r="G40" s="111"/>
      <c r="H40" s="111"/>
      <c r="I40" s="111"/>
      <c r="J40" s="111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</row>
    <row r="41" spans="1:21" x14ac:dyDescent="0.25">
      <c r="B41" s="111"/>
      <c r="C41" s="111"/>
      <c r="D41" s="111"/>
      <c r="E41" s="111"/>
      <c r="F41" s="111"/>
      <c r="G41" s="111"/>
      <c r="H41" s="111"/>
      <c r="I41" s="111"/>
      <c r="J41" s="111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</row>
    <row r="42" spans="1:21" x14ac:dyDescent="0.25">
      <c r="B42" s="111"/>
      <c r="C42" s="111"/>
      <c r="D42" s="111"/>
      <c r="E42" s="111"/>
      <c r="F42" s="111"/>
      <c r="G42" s="111"/>
      <c r="H42" s="111"/>
      <c r="I42" s="111"/>
      <c r="J42" s="111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</row>
    <row r="43" spans="1:21" x14ac:dyDescent="0.25">
      <c r="B43" s="111"/>
      <c r="C43" s="111"/>
      <c r="D43" s="111"/>
      <c r="E43" s="111"/>
      <c r="F43" s="111"/>
      <c r="G43" s="111"/>
      <c r="H43" s="111"/>
      <c r="I43" s="111"/>
      <c r="J43" s="111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</row>
    <row r="44" spans="1:21" x14ac:dyDescent="0.25">
      <c r="B44" s="111"/>
      <c r="C44" s="111"/>
      <c r="D44" s="111"/>
      <c r="E44" s="111"/>
      <c r="F44" s="111"/>
      <c r="G44" s="111"/>
      <c r="H44" s="111"/>
      <c r="I44" s="111"/>
      <c r="J44" s="111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</row>
    <row r="45" spans="1:21" x14ac:dyDescent="0.25">
      <c r="B45" s="111"/>
      <c r="C45" s="111"/>
      <c r="D45" s="111"/>
      <c r="E45" s="111"/>
      <c r="F45" s="111"/>
      <c r="G45" s="111"/>
      <c r="H45" s="111"/>
      <c r="I45" s="111"/>
      <c r="J45" s="111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</row>
    <row r="46" spans="1:21" x14ac:dyDescent="0.25">
      <c r="B46" s="111"/>
      <c r="C46" s="111"/>
      <c r="D46" s="111"/>
      <c r="E46" s="111"/>
      <c r="F46" s="111"/>
      <c r="G46" s="111"/>
      <c r="H46" s="111"/>
      <c r="I46" s="111"/>
      <c r="J46" s="111"/>
      <c r="K46" s="110"/>
      <c r="L46" s="110"/>
      <c r="M46" s="110"/>
      <c r="N46" s="110"/>
      <c r="O46" s="110"/>
      <c r="P46" s="110"/>
      <c r="Q46" s="110"/>
      <c r="R46" s="110"/>
      <c r="S46" s="110"/>
      <c r="T46" s="110"/>
      <c r="U46" s="110"/>
    </row>
    <row r="47" spans="1:21" x14ac:dyDescent="0.25">
      <c r="B47" s="111"/>
      <c r="C47" s="111"/>
      <c r="D47" s="111"/>
      <c r="E47" s="111"/>
      <c r="F47" s="111"/>
      <c r="G47" s="111"/>
      <c r="H47" s="111"/>
      <c r="I47" s="111"/>
      <c r="J47" s="111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</row>
    <row r="48" spans="1:21" x14ac:dyDescent="0.25">
      <c r="B48" s="111"/>
      <c r="C48" s="111"/>
      <c r="D48" s="111"/>
      <c r="E48" s="111"/>
      <c r="F48" s="111"/>
      <c r="G48" s="111"/>
      <c r="H48" s="111"/>
      <c r="I48" s="111"/>
      <c r="J48" s="111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</row>
    <row r="49" spans="2:21" x14ac:dyDescent="0.25">
      <c r="B49" s="111"/>
      <c r="C49" s="111"/>
      <c r="D49" s="111"/>
      <c r="E49" s="111"/>
      <c r="F49" s="111"/>
      <c r="G49" s="111"/>
      <c r="H49" s="111"/>
      <c r="I49" s="111"/>
      <c r="J49" s="111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</row>
    <row r="50" spans="2:21" x14ac:dyDescent="0.25">
      <c r="B50" s="111"/>
      <c r="C50" s="111"/>
      <c r="D50" s="111"/>
      <c r="E50" s="111"/>
      <c r="F50" s="111"/>
      <c r="G50" s="111"/>
      <c r="H50" s="111"/>
      <c r="I50" s="111"/>
      <c r="J50" s="111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</row>
    <row r="51" spans="2:21" x14ac:dyDescent="0.25">
      <c r="B51" s="111"/>
      <c r="C51" s="111"/>
      <c r="D51" s="111"/>
      <c r="E51" s="111"/>
      <c r="F51" s="111"/>
      <c r="G51" s="111"/>
      <c r="H51" s="111"/>
      <c r="I51" s="111"/>
      <c r="J51" s="111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</row>
    <row r="52" spans="2:21" x14ac:dyDescent="0.25">
      <c r="B52" s="111"/>
      <c r="C52" s="111"/>
      <c r="D52" s="111"/>
      <c r="E52" s="111"/>
      <c r="F52" s="111"/>
      <c r="G52" s="111"/>
      <c r="H52" s="111"/>
      <c r="I52" s="111"/>
      <c r="J52" s="111"/>
      <c r="K52" s="110"/>
      <c r="L52" s="110"/>
      <c r="M52" s="110"/>
      <c r="N52" s="110"/>
      <c r="O52" s="110"/>
      <c r="P52" s="110"/>
      <c r="Q52" s="110"/>
      <c r="R52" s="110"/>
      <c r="S52" s="110"/>
      <c r="T52" s="110"/>
      <c r="U52" s="110"/>
    </row>
    <row r="53" spans="2:21" x14ac:dyDescent="0.25">
      <c r="B53" s="111"/>
      <c r="C53" s="111"/>
      <c r="D53" s="111"/>
      <c r="E53" s="111"/>
      <c r="F53" s="111"/>
      <c r="G53" s="111"/>
      <c r="H53" s="111"/>
      <c r="I53" s="111"/>
      <c r="J53" s="111"/>
      <c r="K53" s="110"/>
      <c r="L53" s="110"/>
      <c r="M53" s="110"/>
      <c r="N53" s="110"/>
      <c r="O53" s="110"/>
      <c r="P53" s="110"/>
      <c r="Q53" s="110"/>
      <c r="R53" s="110"/>
      <c r="S53" s="110"/>
      <c r="T53" s="110"/>
      <c r="U53" s="110"/>
    </row>
    <row r="54" spans="2:21" x14ac:dyDescent="0.25">
      <c r="B54" s="111"/>
      <c r="C54" s="111"/>
      <c r="D54" s="111"/>
      <c r="E54" s="111"/>
      <c r="F54" s="111"/>
      <c r="G54" s="111"/>
      <c r="H54" s="111"/>
      <c r="I54" s="111"/>
      <c r="J54" s="111"/>
      <c r="K54" s="110"/>
      <c r="L54" s="110"/>
      <c r="M54" s="110"/>
      <c r="N54" s="110"/>
      <c r="O54" s="110"/>
      <c r="P54" s="110"/>
      <c r="Q54" s="110"/>
      <c r="R54" s="110"/>
      <c r="S54" s="110"/>
      <c r="T54" s="110"/>
      <c r="U54" s="110"/>
    </row>
    <row r="55" spans="2:21" x14ac:dyDescent="0.25">
      <c r="B55" s="111"/>
      <c r="C55" s="111"/>
      <c r="D55" s="111"/>
      <c r="E55" s="111"/>
      <c r="F55" s="111"/>
      <c r="G55" s="111"/>
      <c r="H55" s="111"/>
      <c r="I55" s="111"/>
      <c r="J55" s="111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</row>
    <row r="56" spans="2:21" x14ac:dyDescent="0.25">
      <c r="B56" s="111"/>
      <c r="C56" s="111"/>
      <c r="D56" s="111"/>
      <c r="E56" s="111"/>
      <c r="F56" s="111"/>
      <c r="G56" s="111"/>
      <c r="H56" s="111"/>
      <c r="I56" s="111"/>
      <c r="J56" s="111"/>
      <c r="K56" s="110"/>
      <c r="L56" s="110"/>
      <c r="M56" s="110"/>
      <c r="N56" s="110"/>
      <c r="O56" s="110"/>
      <c r="P56" s="110"/>
      <c r="Q56" s="110"/>
      <c r="R56" s="110"/>
      <c r="S56" s="110"/>
      <c r="T56" s="110"/>
      <c r="U56" s="110"/>
    </row>
    <row r="57" spans="2:21" x14ac:dyDescent="0.25">
      <c r="B57" s="111"/>
      <c r="C57" s="111"/>
      <c r="D57" s="111"/>
      <c r="E57" s="111"/>
      <c r="F57" s="111"/>
      <c r="G57" s="111"/>
      <c r="H57" s="111"/>
      <c r="I57" s="111"/>
      <c r="J57" s="111"/>
      <c r="K57" s="110"/>
      <c r="L57" s="110"/>
      <c r="M57" s="110"/>
      <c r="N57" s="110"/>
      <c r="O57" s="110"/>
      <c r="P57" s="110"/>
      <c r="Q57" s="110"/>
      <c r="R57" s="110"/>
      <c r="S57" s="110"/>
      <c r="T57" s="110"/>
      <c r="U57" s="110"/>
    </row>
    <row r="58" spans="2:21" x14ac:dyDescent="0.25">
      <c r="B58" s="111"/>
      <c r="C58" s="111"/>
      <c r="D58" s="111"/>
      <c r="E58" s="111"/>
      <c r="F58" s="111"/>
      <c r="G58" s="111"/>
      <c r="H58" s="111"/>
      <c r="I58" s="111"/>
      <c r="J58" s="111"/>
      <c r="K58" s="110"/>
      <c r="L58" s="110"/>
      <c r="M58" s="110"/>
      <c r="N58" s="110"/>
      <c r="O58" s="110"/>
      <c r="P58" s="110"/>
      <c r="Q58" s="110"/>
      <c r="R58" s="110"/>
      <c r="S58" s="110"/>
      <c r="T58" s="110"/>
      <c r="U58" s="110"/>
    </row>
    <row r="59" spans="2:21" x14ac:dyDescent="0.25">
      <c r="B59" s="111"/>
      <c r="C59" s="111"/>
      <c r="D59" s="111"/>
      <c r="E59" s="111"/>
      <c r="F59" s="111"/>
      <c r="G59" s="111"/>
      <c r="H59" s="111"/>
      <c r="I59" s="111"/>
      <c r="J59" s="111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</row>
    <row r="60" spans="2:21" x14ac:dyDescent="0.25">
      <c r="B60" s="111"/>
      <c r="C60" s="111"/>
      <c r="D60" s="111"/>
      <c r="E60" s="111"/>
      <c r="F60" s="111"/>
      <c r="G60" s="111"/>
      <c r="H60" s="111"/>
      <c r="I60" s="111"/>
      <c r="J60" s="111"/>
      <c r="K60" s="110"/>
      <c r="L60" s="110"/>
      <c r="M60" s="110"/>
      <c r="N60" s="110"/>
      <c r="O60" s="110"/>
      <c r="P60" s="110"/>
      <c r="Q60" s="110"/>
      <c r="R60" s="110"/>
      <c r="S60" s="110"/>
      <c r="T60" s="110"/>
      <c r="U60" s="110"/>
    </row>
    <row r="61" spans="2:21" x14ac:dyDescent="0.25">
      <c r="B61" s="111"/>
      <c r="C61" s="111"/>
      <c r="D61" s="111"/>
      <c r="E61" s="111"/>
      <c r="F61" s="111"/>
      <c r="G61" s="111"/>
      <c r="H61" s="111"/>
      <c r="I61" s="111"/>
      <c r="J61" s="111"/>
      <c r="K61" s="110"/>
      <c r="L61" s="110"/>
      <c r="M61" s="110"/>
      <c r="N61" s="110"/>
      <c r="O61" s="110"/>
      <c r="P61" s="110"/>
      <c r="Q61" s="110"/>
      <c r="R61" s="110"/>
      <c r="S61" s="110"/>
      <c r="T61" s="110"/>
      <c r="U61" s="110"/>
    </row>
    <row r="62" spans="2:21" x14ac:dyDescent="0.25">
      <c r="B62" s="111"/>
      <c r="C62" s="111"/>
      <c r="D62" s="111"/>
      <c r="E62" s="111"/>
      <c r="F62" s="111"/>
      <c r="G62" s="111"/>
      <c r="H62" s="111"/>
      <c r="I62" s="111"/>
      <c r="J62" s="111"/>
      <c r="K62" s="110"/>
      <c r="L62" s="110"/>
      <c r="M62" s="110"/>
      <c r="N62" s="110"/>
      <c r="O62" s="110"/>
      <c r="P62" s="110"/>
      <c r="Q62" s="110"/>
      <c r="R62" s="110"/>
      <c r="S62" s="110"/>
      <c r="T62" s="110"/>
      <c r="U62" s="110"/>
    </row>
    <row r="63" spans="2:21" x14ac:dyDescent="0.25">
      <c r="B63" s="111"/>
      <c r="C63" s="111"/>
      <c r="D63" s="111"/>
      <c r="E63" s="111"/>
      <c r="F63" s="111"/>
      <c r="G63" s="111"/>
      <c r="H63" s="111"/>
      <c r="I63" s="111"/>
      <c r="J63" s="111"/>
      <c r="K63" s="110"/>
      <c r="L63" s="110"/>
      <c r="M63" s="110"/>
      <c r="N63" s="110"/>
      <c r="O63" s="110"/>
      <c r="P63" s="110"/>
      <c r="Q63" s="110"/>
      <c r="R63" s="110"/>
      <c r="S63" s="110"/>
      <c r="T63" s="110"/>
      <c r="U63" s="110"/>
    </row>
    <row r="64" spans="2:21" x14ac:dyDescent="0.25">
      <c r="B64" s="111"/>
      <c r="C64" s="111"/>
      <c r="D64" s="111"/>
      <c r="E64" s="111"/>
      <c r="F64" s="111"/>
      <c r="G64" s="111"/>
      <c r="H64" s="111"/>
      <c r="I64" s="111"/>
      <c r="J64" s="111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</row>
    <row r="65" spans="2:21" x14ac:dyDescent="0.25">
      <c r="B65" s="111"/>
      <c r="C65" s="111"/>
      <c r="D65" s="111"/>
      <c r="E65" s="111"/>
      <c r="F65" s="111"/>
      <c r="G65" s="111"/>
      <c r="H65" s="111"/>
      <c r="I65" s="111"/>
      <c r="J65" s="111"/>
      <c r="K65" s="110"/>
      <c r="L65" s="110"/>
      <c r="M65" s="110"/>
      <c r="N65" s="110"/>
      <c r="O65" s="110"/>
      <c r="P65" s="110"/>
      <c r="Q65" s="110"/>
      <c r="R65" s="110"/>
      <c r="S65" s="110"/>
      <c r="T65" s="110"/>
      <c r="U65" s="110"/>
    </row>
    <row r="66" spans="2:21" x14ac:dyDescent="0.25">
      <c r="B66" s="111"/>
      <c r="C66" s="111"/>
      <c r="D66" s="111"/>
      <c r="E66" s="111"/>
      <c r="F66" s="111"/>
      <c r="G66" s="111"/>
      <c r="H66" s="111"/>
      <c r="I66" s="111"/>
      <c r="J66" s="111"/>
      <c r="K66" s="110"/>
      <c r="L66" s="110"/>
      <c r="M66" s="110"/>
      <c r="N66" s="110"/>
      <c r="O66" s="110"/>
      <c r="P66" s="110"/>
      <c r="Q66" s="110"/>
      <c r="R66" s="110"/>
      <c r="S66" s="110"/>
      <c r="T66" s="110"/>
      <c r="U66" s="110"/>
    </row>
    <row r="67" spans="2:21" x14ac:dyDescent="0.25">
      <c r="B67" s="111"/>
      <c r="C67" s="111"/>
      <c r="D67" s="111"/>
      <c r="E67" s="111"/>
      <c r="F67" s="111"/>
      <c r="G67" s="111"/>
      <c r="H67" s="111"/>
      <c r="I67" s="111"/>
      <c r="J67" s="111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</row>
    <row r="68" spans="2:21" x14ac:dyDescent="0.25">
      <c r="B68" s="111"/>
      <c r="C68" s="111"/>
      <c r="D68" s="111"/>
      <c r="E68" s="111"/>
      <c r="F68" s="111"/>
      <c r="G68" s="111"/>
      <c r="H68" s="111"/>
      <c r="I68" s="111"/>
      <c r="J68" s="111"/>
      <c r="K68" s="110"/>
      <c r="L68" s="110"/>
      <c r="M68" s="110"/>
      <c r="N68" s="110"/>
      <c r="O68" s="110"/>
      <c r="P68" s="110"/>
      <c r="Q68" s="110"/>
      <c r="R68" s="110"/>
      <c r="S68" s="110"/>
      <c r="T68" s="110"/>
      <c r="U68" s="110"/>
    </row>
    <row r="69" spans="2:21" x14ac:dyDescent="0.25">
      <c r="B69" s="111"/>
      <c r="C69" s="111"/>
      <c r="D69" s="111"/>
      <c r="E69" s="111"/>
      <c r="F69" s="111"/>
      <c r="G69" s="111"/>
      <c r="H69" s="111"/>
      <c r="I69" s="111"/>
      <c r="J69" s="111"/>
      <c r="K69" s="110"/>
      <c r="L69" s="110"/>
      <c r="M69" s="110"/>
      <c r="N69" s="110"/>
      <c r="O69" s="110"/>
      <c r="P69" s="110"/>
      <c r="Q69" s="110"/>
      <c r="R69" s="110"/>
      <c r="S69" s="110"/>
      <c r="T69" s="110"/>
      <c r="U69" s="110"/>
    </row>
    <row r="70" spans="2:21" x14ac:dyDescent="0.25">
      <c r="B70" s="111"/>
      <c r="C70" s="111"/>
      <c r="D70" s="111"/>
      <c r="E70" s="111"/>
      <c r="F70" s="111"/>
      <c r="G70" s="111"/>
      <c r="H70" s="111"/>
      <c r="I70" s="111"/>
      <c r="J70" s="111"/>
      <c r="K70" s="110"/>
      <c r="L70" s="110"/>
      <c r="M70" s="110"/>
      <c r="N70" s="110"/>
      <c r="O70" s="110"/>
      <c r="P70" s="110"/>
      <c r="Q70" s="110"/>
      <c r="R70" s="110"/>
      <c r="S70" s="110"/>
      <c r="T70" s="110"/>
      <c r="U70" s="110"/>
    </row>
    <row r="71" spans="2:21" x14ac:dyDescent="0.25">
      <c r="B71" s="111"/>
      <c r="C71" s="111"/>
      <c r="D71" s="111"/>
      <c r="E71" s="111"/>
      <c r="F71" s="111"/>
      <c r="G71" s="111"/>
      <c r="H71" s="111"/>
      <c r="I71" s="111"/>
      <c r="J71" s="111"/>
      <c r="K71" s="110"/>
      <c r="L71" s="110"/>
      <c r="M71" s="110"/>
      <c r="N71" s="110"/>
      <c r="O71" s="110"/>
      <c r="P71" s="110"/>
      <c r="Q71" s="110"/>
      <c r="R71" s="110"/>
      <c r="S71" s="110"/>
      <c r="T71" s="110"/>
      <c r="U71" s="110"/>
    </row>
    <row r="72" spans="2:21" x14ac:dyDescent="0.25">
      <c r="B72" s="111"/>
      <c r="C72" s="111"/>
      <c r="D72" s="111"/>
      <c r="E72" s="111"/>
      <c r="F72" s="111"/>
      <c r="G72" s="111"/>
      <c r="H72" s="111"/>
      <c r="I72" s="111"/>
      <c r="J72" s="111"/>
      <c r="K72" s="110"/>
      <c r="L72" s="110"/>
      <c r="M72" s="110"/>
      <c r="N72" s="110"/>
      <c r="O72" s="110"/>
      <c r="P72" s="110"/>
      <c r="Q72" s="110"/>
      <c r="R72" s="110"/>
      <c r="S72" s="110"/>
      <c r="T72" s="110"/>
      <c r="U72" s="110"/>
    </row>
    <row r="73" spans="2:21" x14ac:dyDescent="0.25">
      <c r="B73" s="111"/>
      <c r="C73" s="111"/>
      <c r="D73" s="111"/>
      <c r="E73" s="111"/>
      <c r="F73" s="111"/>
      <c r="G73" s="111"/>
      <c r="H73" s="111"/>
      <c r="I73" s="111"/>
      <c r="J73" s="111"/>
      <c r="K73" s="110"/>
      <c r="L73" s="110"/>
      <c r="M73" s="110"/>
      <c r="N73" s="110"/>
      <c r="O73" s="110"/>
      <c r="P73" s="110"/>
      <c r="Q73" s="110"/>
      <c r="R73" s="110"/>
      <c r="S73" s="110"/>
      <c r="T73" s="110"/>
      <c r="U73" s="110"/>
    </row>
    <row r="74" spans="2:21" x14ac:dyDescent="0.25">
      <c r="B74" s="111"/>
      <c r="C74" s="111"/>
      <c r="D74" s="111"/>
      <c r="E74" s="111"/>
      <c r="F74" s="111"/>
      <c r="G74" s="111"/>
      <c r="H74" s="111"/>
      <c r="I74" s="111"/>
      <c r="J74" s="111"/>
      <c r="K74" s="110"/>
      <c r="L74" s="110"/>
      <c r="M74" s="110"/>
      <c r="N74" s="110"/>
      <c r="O74" s="110"/>
      <c r="P74" s="110"/>
      <c r="Q74" s="110"/>
      <c r="R74" s="110"/>
      <c r="S74" s="110"/>
      <c r="T74" s="110"/>
      <c r="U74" s="110"/>
    </row>
    <row r="75" spans="2:21" x14ac:dyDescent="0.25">
      <c r="B75" s="111"/>
      <c r="C75" s="111"/>
      <c r="D75" s="111"/>
      <c r="E75" s="111"/>
      <c r="F75" s="111"/>
      <c r="G75" s="111"/>
      <c r="H75" s="111"/>
      <c r="I75" s="111"/>
      <c r="J75" s="111"/>
      <c r="K75" s="110"/>
      <c r="L75" s="110"/>
      <c r="M75" s="110"/>
      <c r="N75" s="110"/>
      <c r="O75" s="110"/>
      <c r="P75" s="110"/>
      <c r="Q75" s="110"/>
      <c r="R75" s="110"/>
      <c r="S75" s="110"/>
      <c r="T75" s="110"/>
      <c r="U75" s="110"/>
    </row>
    <row r="76" spans="2:21" x14ac:dyDescent="0.25">
      <c r="B76" s="111"/>
      <c r="C76" s="111"/>
      <c r="D76" s="111"/>
      <c r="E76" s="111"/>
      <c r="F76" s="111"/>
      <c r="G76" s="111"/>
      <c r="H76" s="111"/>
      <c r="I76" s="111"/>
      <c r="J76" s="111"/>
      <c r="K76" s="110"/>
      <c r="L76" s="110"/>
      <c r="M76" s="110"/>
      <c r="N76" s="110"/>
      <c r="O76" s="110"/>
      <c r="P76" s="110"/>
      <c r="Q76" s="110"/>
      <c r="R76" s="110"/>
      <c r="S76" s="110"/>
      <c r="T76" s="110"/>
      <c r="U76" s="110"/>
    </row>
    <row r="77" spans="2:21" x14ac:dyDescent="0.25">
      <c r="B77" s="111"/>
      <c r="C77" s="111"/>
      <c r="D77" s="111"/>
      <c r="E77" s="111"/>
      <c r="F77" s="111"/>
      <c r="G77" s="111"/>
      <c r="H77" s="111"/>
      <c r="I77" s="111"/>
      <c r="J77" s="111"/>
      <c r="K77" s="110"/>
      <c r="L77" s="110"/>
      <c r="M77" s="110"/>
      <c r="N77" s="110"/>
      <c r="O77" s="110"/>
      <c r="P77" s="110"/>
      <c r="Q77" s="110"/>
      <c r="R77" s="110"/>
      <c r="S77" s="110"/>
      <c r="T77" s="110"/>
      <c r="U77" s="110"/>
    </row>
    <row r="78" spans="2:21" x14ac:dyDescent="0.25">
      <c r="B78" s="111"/>
      <c r="C78" s="111"/>
      <c r="D78" s="111"/>
      <c r="E78" s="111"/>
      <c r="F78" s="111"/>
      <c r="G78" s="111"/>
      <c r="H78" s="111"/>
      <c r="I78" s="111"/>
      <c r="J78" s="111"/>
      <c r="K78" s="110"/>
      <c r="L78" s="110"/>
      <c r="M78" s="110"/>
      <c r="N78" s="110"/>
      <c r="O78" s="110"/>
      <c r="P78" s="110"/>
      <c r="Q78" s="110"/>
      <c r="R78" s="110"/>
      <c r="S78" s="110"/>
      <c r="T78" s="110"/>
      <c r="U78" s="110"/>
    </row>
    <row r="79" spans="2:21" x14ac:dyDescent="0.25">
      <c r="B79" s="111"/>
      <c r="C79" s="111"/>
      <c r="D79" s="111"/>
      <c r="E79" s="111"/>
      <c r="F79" s="111"/>
      <c r="G79" s="111"/>
      <c r="H79" s="111"/>
      <c r="I79" s="111"/>
      <c r="J79" s="111"/>
      <c r="K79" s="110"/>
      <c r="L79" s="110"/>
      <c r="M79" s="110"/>
      <c r="N79" s="110"/>
      <c r="O79" s="110"/>
      <c r="P79" s="110"/>
      <c r="Q79" s="110"/>
      <c r="R79" s="110"/>
      <c r="S79" s="110"/>
      <c r="T79" s="110"/>
      <c r="U79" s="110"/>
    </row>
    <row r="80" spans="2:21" x14ac:dyDescent="0.25">
      <c r="B80" s="111"/>
      <c r="C80" s="111"/>
      <c r="D80" s="111"/>
      <c r="E80" s="111"/>
      <c r="F80" s="111"/>
      <c r="G80" s="111"/>
      <c r="H80" s="111"/>
      <c r="I80" s="111"/>
      <c r="J80" s="111"/>
      <c r="K80" s="110"/>
      <c r="L80" s="110"/>
      <c r="M80" s="110"/>
      <c r="N80" s="110"/>
      <c r="O80" s="110"/>
      <c r="P80" s="110"/>
      <c r="Q80" s="110"/>
      <c r="R80" s="110"/>
      <c r="S80" s="110"/>
      <c r="T80" s="110"/>
      <c r="U80" s="110"/>
    </row>
    <row r="81" spans="2:21" x14ac:dyDescent="0.25">
      <c r="B81" s="111"/>
      <c r="C81" s="111"/>
      <c r="D81" s="111"/>
      <c r="E81" s="111"/>
      <c r="F81" s="111"/>
      <c r="G81" s="111"/>
      <c r="H81" s="111"/>
      <c r="I81" s="111"/>
      <c r="J81" s="111"/>
      <c r="K81" s="110"/>
      <c r="L81" s="110"/>
      <c r="M81" s="110"/>
      <c r="N81" s="110"/>
      <c r="O81" s="110"/>
      <c r="P81" s="110"/>
      <c r="Q81" s="110"/>
      <c r="R81" s="110"/>
      <c r="S81" s="110"/>
      <c r="T81" s="110"/>
      <c r="U81" s="110"/>
    </row>
    <row r="82" spans="2:21" x14ac:dyDescent="0.25">
      <c r="B82" s="111"/>
      <c r="C82" s="111"/>
      <c r="D82" s="111"/>
      <c r="E82" s="111"/>
      <c r="F82" s="111"/>
      <c r="G82" s="111"/>
      <c r="H82" s="111"/>
      <c r="I82" s="111"/>
      <c r="J82" s="111"/>
      <c r="K82" s="110"/>
      <c r="L82" s="110"/>
      <c r="M82" s="110"/>
      <c r="N82" s="110"/>
      <c r="O82" s="110"/>
      <c r="P82" s="110"/>
      <c r="Q82" s="110"/>
      <c r="R82" s="110"/>
      <c r="S82" s="110"/>
      <c r="T82" s="110"/>
      <c r="U82" s="110"/>
    </row>
  </sheetData>
  <mergeCells count="3">
    <mergeCell ref="B34:D34"/>
    <mergeCell ref="B36:U36"/>
    <mergeCell ref="A1:N4"/>
  </mergeCells>
  <conditionalFormatting sqref="K8:K33">
    <cfRule type="expression" dxfId="32" priority="5">
      <formula>K8&gt;=0.45</formula>
    </cfRule>
    <cfRule type="expression" dxfId="31" priority="6">
      <formula>AND(K8&gt;=0.36,K8&lt;0.45)</formula>
    </cfRule>
    <cfRule type="expression" dxfId="30" priority="7">
      <formula>AND(K8&gt;0,K8&lt;0.36)</formula>
    </cfRule>
  </conditionalFormatting>
  <pageMargins left="0.75" right="0.75" top="1" bottom="1" header="0.511811023622047" footer="0.511811023622047"/>
  <pageSetup paperSize="9" orientation="portrait" horizontalDpi="300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2CCF8B94-42CF-4FCF-BECD-3700C65A2968}">
            <xm:f>E8&gt;='⚙️ Configuración'!C18/'⚙️ Configuración'!C13</xm:f>
            <x14:dxf>
              <font>
                <color rgb="FF1A5C2A"/>
              </font>
              <fill>
                <patternFill>
                  <bgColor rgb="FFC8F7C5"/>
                </patternFill>
              </fill>
            </x14:dxf>
          </x14:cfRule>
          <x14:cfRule type="expression" priority="3" id="{E87CDD10-0684-4B2D-AFE8-A399E8A29089}">
            <xm:f>AND(E8&gt;='⚙️ Configuración'!C18/'⚙️ Configuración'!C13*0.8,E8&lt;'⚙️ Configuración'!C18/'⚙️ Configuración'!C13)</xm:f>
            <x14:dxf>
              <font>
                <color rgb="FF856404"/>
              </font>
              <fill>
                <patternFill>
                  <bgColor rgb="FFFFF3CD"/>
                </patternFill>
              </fill>
            </x14:dxf>
          </x14:cfRule>
          <x14:cfRule type="expression" priority="4" id="{1F233F87-E8DD-4DD3-AFC0-FBB057059172}">
            <xm:f>AND(E8&gt;0,E8&lt;'⚙️ Configuración'!C18/'⚙️ Configuración'!C13*0.8)</xm:f>
            <x14:dxf>
              <font>
                <color rgb="FFB71C1C"/>
              </font>
              <fill>
                <patternFill>
                  <bgColor rgb="FFFFCDD2"/>
                </patternFill>
              </fill>
            </x14:dxf>
          </x14:cfRule>
          <xm:sqref>E8:E33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A5C2A"/>
  </sheetPr>
  <dimension ref="A1:I22"/>
  <sheetViews>
    <sheetView showGridLines="0" zoomScaleNormal="100" workbookViewId="0">
      <selection activeCell="L45" sqref="L45"/>
    </sheetView>
  </sheetViews>
  <sheetFormatPr defaultColWidth="8.7109375" defaultRowHeight="15" x14ac:dyDescent="0.25"/>
  <cols>
    <col min="1" max="1" width="3" style="1" customWidth="1"/>
    <col min="2" max="2" width="28" style="1" customWidth="1"/>
    <col min="3" max="6" width="16" style="1" customWidth="1"/>
    <col min="7" max="7" width="18" style="1" customWidth="1"/>
    <col min="8" max="8" width="16" style="1" customWidth="1"/>
    <col min="9" max="9" width="13" customWidth="1"/>
  </cols>
  <sheetData>
    <row r="1" spans="1:9" ht="15" customHeight="1" x14ac:dyDescent="0.25">
      <c r="A1" s="125" t="s">
        <v>68</v>
      </c>
      <c r="B1" s="125"/>
      <c r="C1" s="125"/>
      <c r="D1" s="125"/>
      <c r="E1" s="125"/>
      <c r="F1" s="125"/>
      <c r="G1" s="125"/>
      <c r="H1" s="125"/>
      <c r="I1" s="125"/>
    </row>
    <row r="2" spans="1:9" ht="15" customHeight="1" x14ac:dyDescent="0.25">
      <c r="A2" s="125"/>
      <c r="B2" s="125"/>
      <c r="C2" s="125"/>
      <c r="D2" s="125"/>
      <c r="E2" s="125"/>
      <c r="F2" s="125"/>
      <c r="G2" s="125"/>
      <c r="H2" s="125"/>
      <c r="I2" s="125"/>
    </row>
    <row r="3" spans="1:9" ht="15" customHeight="1" x14ac:dyDescent="0.25">
      <c r="A3" s="125"/>
      <c r="B3" s="125"/>
      <c r="C3" s="125"/>
      <c r="D3" s="125"/>
      <c r="E3" s="125"/>
      <c r="F3" s="125"/>
      <c r="G3" s="125"/>
      <c r="H3" s="125"/>
      <c r="I3" s="125"/>
    </row>
    <row r="4" spans="1:9" ht="15" customHeight="1" x14ac:dyDescent="0.25">
      <c r="A4" s="125"/>
      <c r="B4" s="125"/>
      <c r="C4" s="125"/>
      <c r="D4" s="125"/>
      <c r="E4" s="125"/>
      <c r="F4" s="125"/>
      <c r="G4" s="125"/>
      <c r="H4" s="125"/>
      <c r="I4" s="125"/>
    </row>
    <row r="6" spans="1:9" ht="36" customHeight="1" x14ac:dyDescent="0.25">
      <c r="B6" s="21" t="s">
        <v>29</v>
      </c>
      <c r="C6" s="44" t="s">
        <v>69</v>
      </c>
      <c r="D6" s="22" t="s">
        <v>70</v>
      </c>
      <c r="E6" s="44" t="s">
        <v>71</v>
      </c>
      <c r="F6" s="44" t="s">
        <v>72</v>
      </c>
      <c r="G6" s="44" t="s">
        <v>73</v>
      </c>
      <c r="H6" s="24" t="s">
        <v>74</v>
      </c>
      <c r="I6" s="23" t="s">
        <v>75</v>
      </c>
    </row>
    <row r="7" spans="1:9" ht="15" customHeight="1" x14ac:dyDescent="0.25">
      <c r="B7" s="45" t="s">
        <v>33</v>
      </c>
      <c r="C7" s="46">
        <v>200</v>
      </c>
      <c r="D7" s="46">
        <v>85</v>
      </c>
      <c r="E7" s="47">
        <f t="shared" ref="E7:E12" si="0">C7-D7</f>
        <v>115</v>
      </c>
      <c r="F7" s="48">
        <v>600</v>
      </c>
      <c r="G7" s="49">
        <f t="shared" ref="G7:G12" si="1">E7*F7</f>
        <v>69000</v>
      </c>
      <c r="H7" s="50">
        <f t="shared" ref="H7:H12" si="2">IF(C7&gt;0,D7/C7,0)</f>
        <v>0.42499999999999999</v>
      </c>
      <c r="I7" s="51" t="str">
        <f t="shared" ref="I7:I12" si="3">IF(H7&gt;=0.7,"🔴 Restock urgente",IF(H7&gt;=0.5,"⚠️ Revisar stock","✅ OK"))</f>
        <v>✅ OK</v>
      </c>
    </row>
    <row r="8" spans="1:9" ht="15" customHeight="1" x14ac:dyDescent="0.25">
      <c r="B8" s="52" t="s">
        <v>34</v>
      </c>
      <c r="C8" s="46">
        <v>150</v>
      </c>
      <c r="D8" s="46">
        <v>62</v>
      </c>
      <c r="E8" s="53">
        <f t="shared" si="0"/>
        <v>88</v>
      </c>
      <c r="F8" s="48">
        <v>800</v>
      </c>
      <c r="G8" s="54">
        <f t="shared" si="1"/>
        <v>70400</v>
      </c>
      <c r="H8" s="55">
        <f t="shared" si="2"/>
        <v>0.41333333333333333</v>
      </c>
      <c r="I8" s="56" t="str">
        <f t="shared" si="3"/>
        <v>✅ OK</v>
      </c>
    </row>
    <row r="9" spans="1:9" ht="15" customHeight="1" x14ac:dyDescent="0.25">
      <c r="B9" s="45" t="s">
        <v>35</v>
      </c>
      <c r="C9" s="46">
        <v>80</v>
      </c>
      <c r="D9" s="46">
        <v>38</v>
      </c>
      <c r="E9" s="47">
        <f t="shared" si="0"/>
        <v>42</v>
      </c>
      <c r="F9" s="48">
        <v>2500</v>
      </c>
      <c r="G9" s="49">
        <f t="shared" si="1"/>
        <v>105000</v>
      </c>
      <c r="H9" s="50">
        <f t="shared" si="2"/>
        <v>0.47499999999999998</v>
      </c>
      <c r="I9" s="51" t="str">
        <f t="shared" si="3"/>
        <v>✅ OK</v>
      </c>
    </row>
    <row r="10" spans="1:9" ht="15" customHeight="1" x14ac:dyDescent="0.25">
      <c r="B10" s="52" t="s">
        <v>36</v>
      </c>
      <c r="C10" s="46">
        <v>300</v>
      </c>
      <c r="D10" s="46">
        <v>95</v>
      </c>
      <c r="E10" s="53">
        <f t="shared" si="0"/>
        <v>205</v>
      </c>
      <c r="F10" s="48">
        <v>400</v>
      </c>
      <c r="G10" s="54">
        <f t="shared" si="1"/>
        <v>82000</v>
      </c>
      <c r="H10" s="55">
        <f t="shared" si="2"/>
        <v>0.31666666666666665</v>
      </c>
      <c r="I10" s="56" t="str">
        <f t="shared" si="3"/>
        <v>✅ OK</v>
      </c>
    </row>
    <row r="11" spans="1:9" ht="15" customHeight="1" x14ac:dyDescent="0.25">
      <c r="B11" s="45" t="s">
        <v>37</v>
      </c>
      <c r="C11" s="46">
        <v>500</v>
      </c>
      <c r="D11" s="46">
        <v>180</v>
      </c>
      <c r="E11" s="47">
        <f t="shared" si="0"/>
        <v>320</v>
      </c>
      <c r="F11" s="48">
        <v>250</v>
      </c>
      <c r="G11" s="49">
        <f t="shared" si="1"/>
        <v>80000</v>
      </c>
      <c r="H11" s="50">
        <f t="shared" si="2"/>
        <v>0.36</v>
      </c>
      <c r="I11" s="51" t="str">
        <f t="shared" si="3"/>
        <v>✅ OK</v>
      </c>
    </row>
    <row r="12" spans="1:9" ht="15" customHeight="1" x14ac:dyDescent="0.25">
      <c r="B12" s="52" t="s">
        <v>38</v>
      </c>
      <c r="C12" s="46">
        <v>400</v>
      </c>
      <c r="D12" s="46">
        <v>220</v>
      </c>
      <c r="E12" s="53">
        <f t="shared" si="0"/>
        <v>180</v>
      </c>
      <c r="F12" s="48">
        <v>100</v>
      </c>
      <c r="G12" s="54">
        <f t="shared" si="1"/>
        <v>18000</v>
      </c>
      <c r="H12" s="55">
        <f t="shared" si="2"/>
        <v>0.55000000000000004</v>
      </c>
      <c r="I12" s="56" t="str">
        <f t="shared" si="3"/>
        <v>⚠️ Revisar stock</v>
      </c>
    </row>
    <row r="13" spans="1:9" ht="15" customHeight="1" x14ac:dyDescent="0.25">
      <c r="B13" s="57" t="s">
        <v>76</v>
      </c>
      <c r="D13" s="58">
        <f>SUM(C7:C12)</f>
        <v>1630</v>
      </c>
      <c r="E13" s="58">
        <f>SUM(D7:D12)</f>
        <v>680</v>
      </c>
      <c r="F13" s="58">
        <f>SUM(E7:E12)</f>
        <v>950</v>
      </c>
      <c r="H13" s="58">
        <f>SUM(G7:G12)</f>
        <v>424400</v>
      </c>
      <c r="I13" s="43">
        <f>IF(C13&gt;0,D13/C13,0)</f>
        <v>0</v>
      </c>
    </row>
    <row r="15" spans="1:9" ht="15" customHeight="1" x14ac:dyDescent="0.25">
      <c r="B15" s="126" t="s">
        <v>77</v>
      </c>
      <c r="C15" s="126"/>
      <c r="D15" s="126"/>
      <c r="E15" s="126"/>
      <c r="F15" s="126"/>
      <c r="G15" s="126"/>
      <c r="H15" s="105"/>
      <c r="I15" s="101"/>
    </row>
    <row r="16" spans="1:9" ht="36" customHeight="1" x14ac:dyDescent="0.25">
      <c r="B16" s="104" t="s">
        <v>29</v>
      </c>
      <c r="C16" s="104" t="s">
        <v>78</v>
      </c>
      <c r="D16" s="104" t="s">
        <v>79</v>
      </c>
      <c r="E16" s="104" t="s">
        <v>58</v>
      </c>
      <c r="F16" s="104" t="s">
        <v>70</v>
      </c>
      <c r="G16" s="104" t="s">
        <v>80</v>
      </c>
      <c r="H16" s="104" t="s">
        <v>81</v>
      </c>
    </row>
    <row r="17" spans="2:8" ht="15" customHeight="1" x14ac:dyDescent="0.25">
      <c r="B17" s="52" t="str">
        <f>'⚙️ Configuración'!B28</f>
        <v>Ropa y Accesorios</v>
      </c>
      <c r="C17" s="59">
        <f>'⚙️ Configuración'!C28</f>
        <v>600</v>
      </c>
      <c r="D17" s="59">
        <f>'⚙️ Configuración'!D28</f>
        <v>1200</v>
      </c>
      <c r="E17" s="55">
        <f>'⚙️ Configuración'!E28</f>
        <v>0.5</v>
      </c>
      <c r="F17" s="53">
        <f t="shared" ref="F17:F22" si="4">D7</f>
        <v>85</v>
      </c>
      <c r="G17" s="54">
        <f t="shared" ref="G17:H22" si="5">F17*D17</f>
        <v>102000</v>
      </c>
      <c r="H17" s="54">
        <f t="shared" si="5"/>
        <v>51000</v>
      </c>
    </row>
    <row r="18" spans="2:8" ht="15" customHeight="1" x14ac:dyDescent="0.25">
      <c r="B18" s="45" t="str">
        <f>'⚙️ Configuración'!B29</f>
        <v>Calzado</v>
      </c>
      <c r="C18" s="60">
        <f>'⚙️ Configuración'!C29</f>
        <v>800</v>
      </c>
      <c r="D18" s="60">
        <f>'⚙️ Configuración'!D29</f>
        <v>1600</v>
      </c>
      <c r="E18" s="50">
        <f>'⚙️ Configuración'!E29</f>
        <v>0.5</v>
      </c>
      <c r="F18" s="47">
        <f t="shared" si="4"/>
        <v>62</v>
      </c>
      <c r="G18" s="49">
        <f t="shared" si="5"/>
        <v>99200</v>
      </c>
      <c r="H18" s="49">
        <f t="shared" si="5"/>
        <v>49600</v>
      </c>
    </row>
    <row r="19" spans="2:8" ht="15" customHeight="1" x14ac:dyDescent="0.25">
      <c r="B19" s="52" t="str">
        <f>'⚙️ Configuración'!B30</f>
        <v>Electrónica</v>
      </c>
      <c r="C19" s="59">
        <f>'⚙️ Configuración'!C30</f>
        <v>2500</v>
      </c>
      <c r="D19" s="59">
        <f>'⚙️ Configuración'!D30</f>
        <v>4000</v>
      </c>
      <c r="E19" s="55">
        <f>'⚙️ Configuración'!E30</f>
        <v>0.375</v>
      </c>
      <c r="F19" s="53">
        <f t="shared" si="4"/>
        <v>38</v>
      </c>
      <c r="G19" s="54">
        <f t="shared" si="5"/>
        <v>152000</v>
      </c>
      <c r="H19" s="54">
        <f t="shared" si="5"/>
        <v>57000</v>
      </c>
    </row>
    <row r="20" spans="2:8" ht="15" customHeight="1" x14ac:dyDescent="0.25">
      <c r="B20" s="45" t="str">
        <f>'⚙️ Configuración'!B31</f>
        <v>Hogar y Deco</v>
      </c>
      <c r="C20" s="60">
        <f>'⚙️ Configuración'!C31</f>
        <v>400</v>
      </c>
      <c r="D20" s="60">
        <f>'⚙️ Configuración'!D31</f>
        <v>900</v>
      </c>
      <c r="E20" s="50">
        <f>'⚙️ Configuración'!E31</f>
        <v>0.55555555555555558</v>
      </c>
      <c r="F20" s="47">
        <f t="shared" si="4"/>
        <v>95</v>
      </c>
      <c r="G20" s="49">
        <f t="shared" si="5"/>
        <v>85500</v>
      </c>
      <c r="H20" s="49">
        <f t="shared" si="5"/>
        <v>47500</v>
      </c>
    </row>
    <row r="21" spans="2:8" ht="15" customHeight="1" x14ac:dyDescent="0.25">
      <c r="B21" s="52" t="str">
        <f>'⚙️ Configuración'!B32</f>
        <v>Belleza y Cuidado</v>
      </c>
      <c r="C21" s="59">
        <f>'⚙️ Configuración'!C32</f>
        <v>250</v>
      </c>
      <c r="D21" s="59">
        <f>'⚙️ Configuración'!D32</f>
        <v>600</v>
      </c>
      <c r="E21" s="55">
        <f>'⚙️ Configuración'!E32</f>
        <v>0.58333333333333337</v>
      </c>
      <c r="F21" s="53">
        <f t="shared" si="4"/>
        <v>180</v>
      </c>
      <c r="G21" s="54">
        <f t="shared" si="5"/>
        <v>108000</v>
      </c>
      <c r="H21" s="54">
        <f t="shared" si="5"/>
        <v>63000.000000000007</v>
      </c>
    </row>
    <row r="22" spans="2:8" ht="15" customHeight="1" x14ac:dyDescent="0.25">
      <c r="B22" s="45" t="str">
        <f>'⚙️ Configuración'!B33</f>
        <v>Alimentos y Bebidas</v>
      </c>
      <c r="C22" s="60">
        <f>'⚙️ Configuración'!C33</f>
        <v>100</v>
      </c>
      <c r="D22" s="60">
        <f>'⚙️ Configuración'!D33</f>
        <v>220</v>
      </c>
      <c r="E22" s="50">
        <f>'⚙️ Configuración'!E33</f>
        <v>0.54545454545454541</v>
      </c>
      <c r="F22" s="47">
        <f t="shared" si="4"/>
        <v>220</v>
      </c>
      <c r="G22" s="49">
        <f t="shared" si="5"/>
        <v>48400</v>
      </c>
      <c r="H22" s="49">
        <f t="shared" si="5"/>
        <v>26399.999999999996</v>
      </c>
    </row>
  </sheetData>
  <mergeCells count="2">
    <mergeCell ref="A1:I4"/>
    <mergeCell ref="B15:G15"/>
  </mergeCells>
  <conditionalFormatting sqref="H7:H12">
    <cfRule type="expression" dxfId="26" priority="2">
      <formula>H7&gt;=0.7</formula>
    </cfRule>
    <cfRule type="expression" dxfId="25" priority="3">
      <formula>AND(H7&gt;=0.5,H7&lt;0.7)</formula>
    </cfRule>
    <cfRule type="expression" dxfId="24" priority="4">
      <formula>H7&lt;0.5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A1A2E"/>
  </sheetPr>
  <dimension ref="A1:Z74"/>
  <sheetViews>
    <sheetView showGridLines="0" topLeftCell="A43" zoomScale="55" zoomScaleNormal="55" workbookViewId="0">
      <selection activeCell="AE88" sqref="AE88"/>
    </sheetView>
  </sheetViews>
  <sheetFormatPr defaultColWidth="8.7109375" defaultRowHeight="15" x14ac:dyDescent="0.25"/>
  <cols>
    <col min="1" max="1" width="2" style="1" customWidth="1"/>
    <col min="2" max="2" width="18" style="1" customWidth="1"/>
    <col min="3" max="7" width="14" style="1" customWidth="1"/>
    <col min="8" max="8" width="28" style="1" customWidth="1"/>
    <col min="9" max="12" width="14" style="1" customWidth="1"/>
    <col min="14" max="14" width="22" customWidth="1"/>
    <col min="15" max="15" width="12" customWidth="1"/>
  </cols>
  <sheetData>
    <row r="1" spans="1:13" ht="15" customHeight="1" x14ac:dyDescent="0.25">
      <c r="A1" s="124" t="s">
        <v>82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</row>
    <row r="2" spans="1:13" ht="15" customHeight="1" x14ac:dyDescent="0.25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3" ht="15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 ht="15" customHeight="1" x14ac:dyDescent="0.25">
      <c r="A4" s="61"/>
      <c r="B4" s="106" t="str">
        <f>'⚙️ Configuración'!C8</f>
        <v>Mi Tienda Retail</v>
      </c>
      <c r="C4" s="106"/>
      <c r="D4" s="106" t="s">
        <v>83</v>
      </c>
      <c r="E4" s="106" t="str">
        <f>'⚙️ Configuración'!C9</f>
        <v>Nombre Gerente</v>
      </c>
      <c r="F4" s="106"/>
      <c r="G4" s="106"/>
      <c r="H4" s="106" t="str">
        <f>'⚙️ Configuración'!C11&amp;" "&amp;TEXT('⚙️ Configuración'!C12,"0")</f>
        <v>Febrero 2024</v>
      </c>
      <c r="I4" s="106"/>
      <c r="J4" s="106"/>
      <c r="K4" s="106"/>
      <c r="L4" s="106"/>
      <c r="M4" s="107"/>
    </row>
    <row r="5" spans="1:13" ht="3.75" customHeight="1" x14ac:dyDescent="0.25">
      <c r="A5" s="62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</row>
    <row r="6" spans="1:13" ht="3.75" customHeight="1" x14ac:dyDescent="0.25">
      <c r="A6" s="61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7"/>
    </row>
    <row r="8" spans="1:13" ht="19.5" customHeight="1" x14ac:dyDescent="0.25">
      <c r="B8" s="133" t="s">
        <v>84</v>
      </c>
      <c r="C8" s="133"/>
      <c r="D8" s="133" t="s">
        <v>85</v>
      </c>
      <c r="E8" s="133"/>
      <c r="F8" s="133" t="s">
        <v>86</v>
      </c>
      <c r="G8" s="133"/>
      <c r="H8" s="133" t="s">
        <v>87</v>
      </c>
      <c r="I8" s="133"/>
      <c r="J8" s="133" t="s">
        <v>88</v>
      </c>
      <c r="K8" s="133"/>
      <c r="L8" s="133" t="s">
        <v>89</v>
      </c>
      <c r="M8" s="133"/>
    </row>
    <row r="9" spans="1:13" ht="19.5" customHeight="1" x14ac:dyDescent="0.25">
      <c r="B9" s="134">
        <f>'📅 Datos Diarios'!E34</f>
        <v>630300</v>
      </c>
      <c r="C9" s="134"/>
      <c r="D9" s="134">
        <f>'📅 Datos Diarios'!H34</f>
        <v>427.03252032520328</v>
      </c>
      <c r="E9" s="134"/>
      <c r="F9" s="136">
        <f>IF('📅 Datos Diarios'!F34&gt;0,'📅 Datos Diarios'!G34/'📅 Datos Diarios'!F34,0)</f>
        <v>0.35921148697980043</v>
      </c>
      <c r="G9" s="136"/>
      <c r="H9" s="136">
        <f>'📦 Inventario'!H13</f>
        <v>424400</v>
      </c>
      <c r="I9" s="136"/>
      <c r="J9" s="136">
        <f>'📅 Datos Diarios'!K34</f>
        <v>0.51031254957956529</v>
      </c>
      <c r="K9" s="136"/>
      <c r="L9" s="134">
        <f>'📅 Datos Diarios'!G34</f>
        <v>1476</v>
      </c>
      <c r="M9" s="134"/>
    </row>
    <row r="10" spans="1:13" ht="19.5" customHeight="1" x14ac:dyDescent="0.25">
      <c r="B10" s="134"/>
      <c r="C10" s="134"/>
      <c r="D10" s="134"/>
      <c r="E10" s="134"/>
      <c r="F10" s="136"/>
      <c r="G10" s="136"/>
      <c r="H10" s="136"/>
      <c r="I10" s="136"/>
      <c r="J10" s="136"/>
      <c r="K10" s="136"/>
      <c r="L10" s="134"/>
      <c r="M10" s="134"/>
    </row>
    <row r="11" spans="1:13" ht="19.5" customHeight="1" x14ac:dyDescent="0.25">
      <c r="B11" s="134"/>
      <c r="C11" s="134"/>
      <c r="D11" s="134"/>
      <c r="E11" s="134"/>
      <c r="F11" s="136"/>
      <c r="G11" s="136"/>
      <c r="H11" s="136"/>
      <c r="I11" s="136"/>
      <c r="J11" s="136"/>
      <c r="K11" s="136"/>
      <c r="L11" s="134"/>
      <c r="M11" s="134"/>
    </row>
    <row r="12" spans="1:13" ht="19.5" customHeight="1" x14ac:dyDescent="0.25">
      <c r="B12" s="63" t="s">
        <v>90</v>
      </c>
      <c r="C12" s="64">
        <f>'⚙️ Configuración'!C18</f>
        <v>500000</v>
      </c>
      <c r="D12" s="63" t="s">
        <v>90</v>
      </c>
      <c r="E12" s="64">
        <f>'⚙️ Configuración'!C19</f>
        <v>1500</v>
      </c>
      <c r="F12" s="63" t="s">
        <v>90</v>
      </c>
      <c r="G12" s="65">
        <f>'⚙️ Configuración'!C20</f>
        <v>0.35</v>
      </c>
      <c r="H12" s="63" t="s">
        <v>90</v>
      </c>
      <c r="I12" s="65">
        <f>'⚙️ Configuración'!C21</f>
        <v>4</v>
      </c>
      <c r="J12" s="63" t="s">
        <v>90</v>
      </c>
      <c r="K12" s="65">
        <f>'⚙️ Configuración'!C22</f>
        <v>0.45</v>
      </c>
      <c r="L12" s="63" t="s">
        <v>90</v>
      </c>
      <c r="M12" s="64">
        <f>'⚙️ Configuración'!C23</f>
        <v>350</v>
      </c>
    </row>
    <row r="13" spans="1:13" ht="19.5" customHeight="1" x14ac:dyDescent="0.25">
      <c r="B13" s="135">
        <f>IF('⚙️ Configuración'!C18&gt;0,'📅 Datos Diarios'!E34/'⚙️ Configuración'!C18,0)</f>
        <v>1.2605999999999999</v>
      </c>
      <c r="C13" s="135"/>
      <c r="D13" s="135">
        <f>IF('⚙️ Configuración'!C19&gt;0,'📅 Datos Diarios'!H34/'⚙️ Configuración'!C19,0)</f>
        <v>0.28468834688346883</v>
      </c>
      <c r="E13" s="135"/>
      <c r="F13" s="135">
        <f>IF('⚙️ Configuración'!C20&gt;0,IF('📅 Datos Diarios'!F34&gt;0,'📅 Datos Diarios'!G34/'📅 Datos Diarios'!F34,0)/'⚙️ Configuración'!C20,0)</f>
        <v>1.0263185342280012</v>
      </c>
      <c r="G13" s="135"/>
      <c r="H13" s="135">
        <f>IF('⚙️ Configuración'!C21&gt;0,'📦 Inventario'!H13/'⚙️ Configuración'!C21,0)</f>
        <v>106100</v>
      </c>
      <c r="I13" s="135"/>
      <c r="J13" s="135">
        <f>IF('⚙️ Configuración'!C22&gt;0,'📅 Datos Diarios'!K34/'⚙️ Configuración'!C22,0)</f>
        <v>1.1340278879545895</v>
      </c>
      <c r="K13" s="135"/>
      <c r="L13" s="135">
        <f>IF('⚙️ Configuración'!C23&gt;0,'📅 Datos Diarios'!G34/'⚙️ Configuración'!C23,0)</f>
        <v>4.2171428571428571</v>
      </c>
      <c r="M13" s="135"/>
    </row>
    <row r="14" spans="1:13" ht="19.5" customHeight="1" x14ac:dyDescent="0.25">
      <c r="B14" s="128" t="str">
        <f>IF('📅 Datos Diarios'!E34&gt;='⚙️ Configuración'!C18,"✅ EN META",IF('📅 Datos Diarios'!E34&gt;='⚙️ Configuración'!C18*0.8,"⚠️ EN RIESGO","🔴 CRÍTICO"))</f>
        <v>✅ EN META</v>
      </c>
      <c r="C14" s="128"/>
      <c r="D14" s="128" t="str">
        <f>IF('📅 Datos Diarios'!H34&gt;='⚙️ Configuración'!C19,"✅ EN META",IF('📅 Datos Diarios'!H34&gt;='⚙️ Configuración'!C19*0.8,"⚠️ EN RIESGO","🔴 CRÍTICO"))</f>
        <v>🔴 CRÍTICO</v>
      </c>
      <c r="E14" s="128"/>
      <c r="F14" s="128" t="str">
        <f>IF(IF('📅 Datos Diarios'!F34&gt;0,'📅 Datos Diarios'!G34/'📅 Datos Diarios'!F34,0)&gt;='⚙️ Configuración'!C20,"✅ EN META",IF(IF('📅 Datos Diarios'!F34&gt;0,'📅 Datos Diarios'!G34/'📅 Datos Diarios'!F34,0)&gt;='⚙️ Configuración'!C20*0.8,"⚠️ EN RIESGO","🔴 CRÍTICO"))</f>
        <v>✅ EN META</v>
      </c>
      <c r="G14" s="128"/>
      <c r="H14" s="128" t="str">
        <f>IF('📦 Inventario'!H13&gt;='⚙️ Configuración'!C21,"✅ EN META",IF('📦 Inventario'!H13&gt;='⚙️ Configuración'!C21*0.8,"⚠️ EN RIESGO","🔴 CRÍTICO"))</f>
        <v>✅ EN META</v>
      </c>
      <c r="I14" s="128"/>
      <c r="J14" s="128" t="str">
        <f>IF('📅 Datos Diarios'!K34&gt;='⚙️ Configuración'!C22,"✅ EN META",IF('📅 Datos Diarios'!K34&gt;='⚙️ Configuración'!C22*0.8,"⚠️ EN RIESGO","🔴 CRÍTICO"))</f>
        <v>✅ EN META</v>
      </c>
      <c r="K14" s="128"/>
      <c r="L14" s="128" t="str">
        <f>IF('📅 Datos Diarios'!G34&gt;='⚙️ Configuración'!C23,"✅ EN META",IF('📅 Datos Diarios'!G34&gt;='⚙️ Configuración'!C23*0.8,"⚠️ EN RIESGO","🔴 CRÍTICO"))</f>
        <v>✅ EN META</v>
      </c>
      <c r="M14" s="128"/>
    </row>
    <row r="17" spans="2:12" ht="43.5" customHeight="1" x14ac:dyDescent="0.25">
      <c r="B17" s="129" t="s">
        <v>91</v>
      </c>
      <c r="C17" s="129"/>
      <c r="D17" s="129"/>
      <c r="E17" s="129"/>
      <c r="F17" s="129"/>
      <c r="G17" s="129"/>
      <c r="H17" s="129"/>
      <c r="I17" s="129"/>
      <c r="J17" s="129"/>
      <c r="K17" s="129"/>
      <c r="L17" s="129"/>
    </row>
    <row r="18" spans="2:12" ht="36" customHeight="1" x14ac:dyDescent="0.25">
      <c r="B18" s="108" t="s">
        <v>92</v>
      </c>
      <c r="C18" s="108" t="s">
        <v>93</v>
      </c>
      <c r="D18" s="108" t="s">
        <v>94</v>
      </c>
      <c r="E18" s="108" t="s">
        <v>95</v>
      </c>
      <c r="F18" s="108" t="s">
        <v>96</v>
      </c>
      <c r="G18" s="108" t="s">
        <v>97</v>
      </c>
      <c r="H18" s="108" t="s">
        <v>98</v>
      </c>
      <c r="I18" s="108" t="s">
        <v>99</v>
      </c>
      <c r="J18" s="108" t="s">
        <v>100</v>
      </c>
      <c r="K18" s="108" t="s">
        <v>101</v>
      </c>
      <c r="L18" s="108" t="s">
        <v>102</v>
      </c>
    </row>
    <row r="19" spans="2:12" ht="18" customHeight="1" x14ac:dyDescent="0.25">
      <c r="B19" s="66" t="s">
        <v>103</v>
      </c>
      <c r="C19" s="67">
        <f>'📅 Datos Diarios'!E8</f>
        <v>18500</v>
      </c>
      <c r="D19" s="67">
        <f>'📅 Datos Diarios'!E9</f>
        <v>22000</v>
      </c>
      <c r="E19" s="67">
        <f>'📅 Datos Diarios'!E10</f>
        <v>19800</v>
      </c>
      <c r="F19" s="67">
        <f>'📅 Datos Diarios'!E11</f>
        <v>24500</v>
      </c>
      <c r="G19" s="67">
        <f>'📅 Datos Diarios'!E12</f>
        <v>31000</v>
      </c>
      <c r="H19" s="67">
        <f>'📅 Datos Diarios'!E13</f>
        <v>28000</v>
      </c>
      <c r="I19" s="68">
        <f>SUM(C19:H19)</f>
        <v>143800</v>
      </c>
      <c r="J19" s="69">
        <f>'⚙️ Configuración'!C18/'⚙️ Configuración'!C13*6</f>
        <v>115384.61538461538</v>
      </c>
      <c r="K19" s="70">
        <f>IF(J19&gt;0,I19/J19,0)</f>
        <v>1.2462666666666669</v>
      </c>
      <c r="L19" s="71" t="str">
        <f>IF(K19&gt;=1,"✅ En meta",IF(K19&gt;=0.8,"⚠️ En riesgo","🔴 Crítico"))</f>
        <v>✅ En meta</v>
      </c>
    </row>
    <row r="20" spans="2:12" ht="18" customHeight="1" x14ac:dyDescent="0.25">
      <c r="B20" s="72" t="s">
        <v>104</v>
      </c>
      <c r="C20" s="73">
        <f>'📅 Datos Diarios'!E14</f>
        <v>17000</v>
      </c>
      <c r="D20" s="73">
        <f>'📅 Datos Diarios'!E15</f>
        <v>20500</v>
      </c>
      <c r="E20" s="73">
        <f>'📅 Datos Diarios'!E16</f>
        <v>23000</v>
      </c>
      <c r="F20" s="73">
        <f>'📅 Datos Diarios'!E17</f>
        <v>25500</v>
      </c>
      <c r="G20" s="73">
        <f>'📅 Datos Diarios'!E18</f>
        <v>30000</v>
      </c>
      <c r="H20" s="73">
        <f>'📅 Datos Diarios'!E19</f>
        <v>27500</v>
      </c>
      <c r="I20" s="74">
        <f>SUM(C20:H20)</f>
        <v>143500</v>
      </c>
      <c r="J20" s="75">
        <f>'⚙️ Configuración'!C18/'⚙️ Configuración'!C13*6</f>
        <v>115384.61538461538</v>
      </c>
      <c r="K20" s="70">
        <f>IF(J20&gt;0,I20/J20,0)</f>
        <v>1.2436666666666667</v>
      </c>
      <c r="L20" s="71" t="str">
        <f>IF(K20&gt;=1,"✅ En meta",IF(K20&gt;=0.8,"⚠️ En riesgo","🔴 Crítico"))</f>
        <v>✅ En meta</v>
      </c>
    </row>
    <row r="21" spans="2:12" ht="18" customHeight="1" x14ac:dyDescent="0.25">
      <c r="B21" s="66" t="s">
        <v>105</v>
      </c>
      <c r="C21" s="67">
        <f>'📅 Datos Diarios'!E20</f>
        <v>16500</v>
      </c>
      <c r="D21" s="67">
        <f>'📅 Datos Diarios'!E21</f>
        <v>21000</v>
      </c>
      <c r="E21" s="67">
        <f>'📅 Datos Diarios'!E22</f>
        <v>22500</v>
      </c>
      <c r="F21" s="67">
        <f>'📅 Datos Diarios'!E23</f>
        <v>26000</v>
      </c>
      <c r="G21" s="67">
        <f>'📅 Datos Diarios'!E24</f>
        <v>32000</v>
      </c>
      <c r="H21" s="67">
        <f>'📅 Datos Diarios'!E25</f>
        <v>29000</v>
      </c>
      <c r="I21" s="68">
        <f>SUM(C21:H21)</f>
        <v>147000</v>
      </c>
      <c r="J21" s="69">
        <f>'⚙️ Configuración'!C18/'⚙️ Configuración'!C13*6</f>
        <v>115384.61538461538</v>
      </c>
      <c r="K21" s="70">
        <f>IF(J21&gt;0,I21/J21,0)</f>
        <v>1.274</v>
      </c>
      <c r="L21" s="71" t="str">
        <f>IF(K21&gt;=1,"✅ En meta",IF(K21&gt;=0.8,"⚠️ En riesgo","🔴 Crítico"))</f>
        <v>✅ En meta</v>
      </c>
    </row>
    <row r="22" spans="2:12" ht="18" customHeight="1" x14ac:dyDescent="0.25">
      <c r="B22" s="72" t="s">
        <v>106</v>
      </c>
      <c r="C22" s="73">
        <f>'📅 Datos Diarios'!E26</f>
        <v>18000</v>
      </c>
      <c r="D22" s="73">
        <f>'📅 Datos Diarios'!E27</f>
        <v>23500</v>
      </c>
      <c r="E22" s="73">
        <f>'📅 Datos Diarios'!E28</f>
        <v>21000</v>
      </c>
      <c r="F22" s="73">
        <f>'📅 Datos Diarios'!E29</f>
        <v>27000</v>
      </c>
      <c r="G22" s="73">
        <f>'📅 Datos Diarios'!E30</f>
        <v>33000</v>
      </c>
      <c r="H22" s="73">
        <f>'📅 Datos Diarios'!E31</f>
        <v>30500</v>
      </c>
      <c r="I22" s="74">
        <f>SUM(C22:H22)</f>
        <v>153000</v>
      </c>
      <c r="J22" s="75">
        <f>'⚙️ Configuración'!C18/'⚙️ Configuración'!C13*6</f>
        <v>115384.61538461538</v>
      </c>
      <c r="K22" s="70">
        <f>IF(J22&gt;0,I22/J22,0)</f>
        <v>1.3260000000000001</v>
      </c>
      <c r="L22" s="71" t="str">
        <f>IF(K22&gt;=1,"✅ En meta",IF(K22&gt;=0.8,"⚠️ En riesgo","🔴 Crítico"))</f>
        <v>✅ En meta</v>
      </c>
    </row>
    <row r="23" spans="2:12" ht="19.5" customHeight="1" x14ac:dyDescent="0.25">
      <c r="B23" s="130" t="s">
        <v>107</v>
      </c>
      <c r="C23" s="130"/>
      <c r="D23" s="130"/>
      <c r="E23" s="130"/>
      <c r="F23" s="130"/>
      <c r="G23" s="130"/>
      <c r="H23" s="130"/>
      <c r="I23" s="42">
        <f>'📅 Datos Diarios'!E34</f>
        <v>630300</v>
      </c>
      <c r="J23" s="42">
        <f>'⚙️ Configuración'!C18</f>
        <v>500000</v>
      </c>
      <c r="K23" s="43">
        <f>IF(J23&gt;0,I23/J23,0)</f>
        <v>1.2605999999999999</v>
      </c>
      <c r="L23" s="57" t="str">
        <f>IF(K23&gt;=1,"✅ EN META",IF(K23&gt;=0.8,"⚠️ EN RIESGO","🔴 CRÍTICO"))</f>
        <v>✅ EN META</v>
      </c>
    </row>
    <row r="26" spans="2:12" ht="15" customHeight="1" x14ac:dyDescent="0.25">
      <c r="B26" s="131" t="s">
        <v>108</v>
      </c>
      <c r="C26" s="131"/>
      <c r="D26" s="131"/>
      <c r="E26" s="131"/>
      <c r="F26" s="131"/>
      <c r="G26" s="131"/>
      <c r="H26" s="131"/>
      <c r="I26" s="131"/>
      <c r="J26" s="131"/>
      <c r="K26" s="131"/>
      <c r="L26" s="131"/>
    </row>
    <row r="27" spans="2:12" ht="27.75" customHeight="1" x14ac:dyDescent="0.25">
      <c r="B27" s="76" t="s">
        <v>15</v>
      </c>
      <c r="C27" s="76" t="s">
        <v>109</v>
      </c>
      <c r="D27" s="76" t="s">
        <v>110</v>
      </c>
      <c r="E27" s="76" t="s">
        <v>111</v>
      </c>
      <c r="F27" s="76" t="s">
        <v>112</v>
      </c>
      <c r="G27" s="76" t="s">
        <v>113</v>
      </c>
      <c r="H27" s="76" t="s">
        <v>114</v>
      </c>
    </row>
    <row r="28" spans="2:12" ht="19.5" customHeight="1" x14ac:dyDescent="0.25">
      <c r="B28" s="77" t="s">
        <v>115</v>
      </c>
      <c r="C28" s="78">
        <f>'📅 Datos Diarios'!E34</f>
        <v>630300</v>
      </c>
      <c r="D28" s="79">
        <f>'⚙️ Configuración'!C18</f>
        <v>500000</v>
      </c>
      <c r="E28" s="80">
        <f t="shared" ref="E28:E33" si="0">IF(D28&gt;0,C28/D28,0)</f>
        <v>1.2605999999999999</v>
      </c>
      <c r="F28" s="59">
        <f t="shared" ref="F28:F33" si="1">C28-D28</f>
        <v>130300</v>
      </c>
      <c r="G28" s="81" t="str">
        <f t="shared" ref="G28:G33" si="2">IF(E28&gt;=1,"✅ EN META",IF(E28&gt;=0.8,"⚠️ EN RIESGO","🔴 CRÍTICO"))</f>
        <v>✅ EN META</v>
      </c>
      <c r="H28" s="82" t="s">
        <v>116</v>
      </c>
    </row>
    <row r="29" spans="2:12" ht="19.5" customHeight="1" x14ac:dyDescent="0.25">
      <c r="B29" s="83" t="s">
        <v>117</v>
      </c>
      <c r="C29" s="84">
        <f>'📅 Datos Diarios'!H34</f>
        <v>427.03252032520328</v>
      </c>
      <c r="D29" s="85">
        <f>'⚙️ Configuración'!C19</f>
        <v>1500</v>
      </c>
      <c r="E29" s="86">
        <f t="shared" si="0"/>
        <v>0.28468834688346883</v>
      </c>
      <c r="F29" s="60">
        <f t="shared" si="1"/>
        <v>-1072.9674796747968</v>
      </c>
      <c r="G29" s="87" t="str">
        <f t="shared" si="2"/>
        <v>🔴 CRÍTICO</v>
      </c>
      <c r="H29" s="88" t="s">
        <v>118</v>
      </c>
    </row>
    <row r="30" spans="2:12" ht="19.5" customHeight="1" x14ac:dyDescent="0.25">
      <c r="B30" s="77" t="s">
        <v>119</v>
      </c>
      <c r="C30" s="89">
        <f>IF('📅 Datos Diarios'!F34&gt;0,'📅 Datos Diarios'!G34/'📅 Datos Diarios'!F34,0)</f>
        <v>0.35921148697980043</v>
      </c>
      <c r="D30" s="90">
        <f>'⚙️ Configuración'!C20</f>
        <v>0.35</v>
      </c>
      <c r="E30" s="80">
        <f t="shared" si="0"/>
        <v>1.0263185342280012</v>
      </c>
      <c r="F30" s="91">
        <f t="shared" si="1"/>
        <v>9.2114869798004539E-3</v>
      </c>
      <c r="G30" s="81" t="str">
        <f t="shared" si="2"/>
        <v>✅ EN META</v>
      </c>
      <c r="H30" s="82" t="s">
        <v>120</v>
      </c>
    </row>
    <row r="31" spans="2:12" ht="19.5" customHeight="1" x14ac:dyDescent="0.25">
      <c r="B31" s="83" t="s">
        <v>121</v>
      </c>
      <c r="C31" s="92">
        <f>'📦 Inventario'!H13</f>
        <v>424400</v>
      </c>
      <c r="D31" s="93">
        <f>'⚙️ Configuración'!C21</f>
        <v>4</v>
      </c>
      <c r="E31" s="86">
        <f t="shared" si="0"/>
        <v>106100</v>
      </c>
      <c r="F31" s="94">
        <f t="shared" si="1"/>
        <v>424396</v>
      </c>
      <c r="G31" s="87" t="str">
        <f t="shared" si="2"/>
        <v>✅ EN META</v>
      </c>
      <c r="H31" s="88" t="s">
        <v>122</v>
      </c>
    </row>
    <row r="32" spans="2:12" ht="19.5" customHeight="1" x14ac:dyDescent="0.25">
      <c r="B32" s="77" t="s">
        <v>123</v>
      </c>
      <c r="C32" s="89">
        <f>'📅 Datos Diarios'!K34</f>
        <v>0.51031254957956529</v>
      </c>
      <c r="D32" s="90">
        <f>'⚙️ Configuración'!C22</f>
        <v>0.45</v>
      </c>
      <c r="E32" s="80">
        <f t="shared" si="0"/>
        <v>1.1340278879545895</v>
      </c>
      <c r="F32" s="91">
        <f t="shared" si="1"/>
        <v>6.0312549579565278E-2</v>
      </c>
      <c r="G32" s="81" t="str">
        <f t="shared" si="2"/>
        <v>✅ EN META</v>
      </c>
      <c r="H32" s="82" t="s">
        <v>124</v>
      </c>
    </row>
    <row r="33" spans="1:26" ht="19.5" customHeight="1" x14ac:dyDescent="0.25">
      <c r="B33" s="83" t="s">
        <v>125</v>
      </c>
      <c r="C33" s="84">
        <f>'📅 Datos Diarios'!G34</f>
        <v>1476</v>
      </c>
      <c r="D33" s="85">
        <f>'⚙️ Configuración'!C23</f>
        <v>350</v>
      </c>
      <c r="E33" s="86">
        <f t="shared" si="0"/>
        <v>4.2171428571428571</v>
      </c>
      <c r="F33" s="60">
        <f t="shared" si="1"/>
        <v>1126</v>
      </c>
      <c r="G33" s="87" t="str">
        <f t="shared" si="2"/>
        <v>✅ EN META</v>
      </c>
      <c r="H33" s="88" t="s">
        <v>126</v>
      </c>
    </row>
    <row r="36" spans="1:26" ht="15" customHeight="1" x14ac:dyDescent="0.25">
      <c r="B36" s="132" t="s">
        <v>127</v>
      </c>
      <c r="C36" s="132"/>
      <c r="D36" s="132"/>
      <c r="E36" s="132"/>
      <c r="F36" s="132"/>
      <c r="G36" s="132"/>
      <c r="H36" s="132"/>
      <c r="I36" s="132"/>
      <c r="J36" s="132"/>
      <c r="K36" s="132"/>
      <c r="L36" s="132"/>
    </row>
    <row r="38" spans="1:26" ht="62.25" customHeight="1" x14ac:dyDescent="0.25">
      <c r="A38" s="127" t="s">
        <v>128</v>
      </c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</row>
    <row r="55" spans="14:15" x14ac:dyDescent="0.25">
      <c r="N55" t="s">
        <v>15</v>
      </c>
      <c r="O55" t="s">
        <v>111</v>
      </c>
    </row>
    <row r="56" spans="14:15" x14ac:dyDescent="0.25">
      <c r="N56" s="95" t="s">
        <v>129</v>
      </c>
      <c r="O56" s="96">
        <f t="shared" ref="O56:O61" si="3">E28</f>
        <v>1.2605999999999999</v>
      </c>
    </row>
    <row r="57" spans="14:15" x14ac:dyDescent="0.25">
      <c r="N57" s="95" t="s">
        <v>130</v>
      </c>
      <c r="O57" s="96">
        <f t="shared" si="3"/>
        <v>0.28468834688346883</v>
      </c>
    </row>
    <row r="58" spans="14:15" x14ac:dyDescent="0.25">
      <c r="N58" s="95" t="s">
        <v>131</v>
      </c>
      <c r="O58" s="96">
        <f t="shared" si="3"/>
        <v>1.0263185342280012</v>
      </c>
    </row>
    <row r="59" spans="14:15" x14ac:dyDescent="0.25">
      <c r="N59" s="95" t="s">
        <v>132</v>
      </c>
      <c r="O59" s="96">
        <f t="shared" si="3"/>
        <v>106100</v>
      </c>
    </row>
    <row r="60" spans="14:15" x14ac:dyDescent="0.25">
      <c r="N60" s="95" t="s">
        <v>32</v>
      </c>
      <c r="O60" s="96">
        <f t="shared" si="3"/>
        <v>1.1340278879545895</v>
      </c>
    </row>
    <row r="61" spans="14:15" x14ac:dyDescent="0.25">
      <c r="N61" s="95" t="s">
        <v>133</v>
      </c>
      <c r="O61" s="96">
        <f t="shared" si="3"/>
        <v>4.2171428571428571</v>
      </c>
    </row>
    <row r="72" spans="14:15" x14ac:dyDescent="0.25">
      <c r="N72" t="s">
        <v>134</v>
      </c>
      <c r="O72" t="s">
        <v>135</v>
      </c>
    </row>
    <row r="73" spans="14:15" x14ac:dyDescent="0.25">
      <c r="N73" t="s">
        <v>54</v>
      </c>
      <c r="O73" s="97">
        <f>'📅 Datos Diarios'!G34</f>
        <v>1476</v>
      </c>
    </row>
    <row r="74" spans="14:15" x14ac:dyDescent="0.25">
      <c r="N74" t="s">
        <v>136</v>
      </c>
      <c r="O74">
        <f>'📅 Datos Diarios'!F34-'📅 Datos Diarios'!G34</f>
        <v>2633</v>
      </c>
    </row>
  </sheetData>
  <mergeCells count="30">
    <mergeCell ref="F8:G8"/>
    <mergeCell ref="H8:I8"/>
    <mergeCell ref="J8:K8"/>
    <mergeCell ref="L8:M8"/>
    <mergeCell ref="A1:M3"/>
    <mergeCell ref="L9:M11"/>
    <mergeCell ref="B13:C13"/>
    <mergeCell ref="D13:E13"/>
    <mergeCell ref="F13:G13"/>
    <mergeCell ref="H13:I13"/>
    <mergeCell ref="J13:K13"/>
    <mergeCell ref="L13:M13"/>
    <mergeCell ref="B9:C11"/>
    <mergeCell ref="D9:E11"/>
    <mergeCell ref="F9:G11"/>
    <mergeCell ref="H9:I11"/>
    <mergeCell ref="J9:K11"/>
    <mergeCell ref="B8:C8"/>
    <mergeCell ref="D8:E8"/>
    <mergeCell ref="A38:Z38"/>
    <mergeCell ref="L14:M14"/>
    <mergeCell ref="B17:L17"/>
    <mergeCell ref="B23:H23"/>
    <mergeCell ref="B26:L26"/>
    <mergeCell ref="B36:L36"/>
    <mergeCell ref="B14:C14"/>
    <mergeCell ref="D14:E14"/>
    <mergeCell ref="F14:G14"/>
    <mergeCell ref="H14:I14"/>
    <mergeCell ref="J14:K14"/>
  </mergeCells>
  <conditionalFormatting sqref="B13">
    <cfRule type="expression" dxfId="23" priority="2">
      <formula>B13&gt;=1</formula>
    </cfRule>
    <cfRule type="expression" dxfId="22" priority="3">
      <formula>AND(B13&gt;=0.8,B13&lt;1)</formula>
    </cfRule>
    <cfRule type="expression" dxfId="21" priority="4">
      <formula>B13&lt;0.8</formula>
    </cfRule>
  </conditionalFormatting>
  <conditionalFormatting sqref="D13">
    <cfRule type="expression" dxfId="20" priority="5">
      <formula>D13&gt;=1</formula>
    </cfRule>
    <cfRule type="expression" dxfId="19" priority="6">
      <formula>AND(D13&gt;=0.8,D13&lt;1)</formula>
    </cfRule>
    <cfRule type="expression" dxfId="18" priority="7">
      <formula>D13&lt;0.8</formula>
    </cfRule>
  </conditionalFormatting>
  <conditionalFormatting sqref="F13">
    <cfRule type="expression" dxfId="17" priority="8">
      <formula>F13&gt;=1</formula>
    </cfRule>
    <cfRule type="expression" dxfId="16" priority="9">
      <formula>AND(F13&gt;=0.8,F13&lt;1)</formula>
    </cfRule>
    <cfRule type="expression" dxfId="15" priority="10">
      <formula>F13&lt;0.8</formula>
    </cfRule>
  </conditionalFormatting>
  <conditionalFormatting sqref="H13">
    <cfRule type="expression" dxfId="14" priority="11">
      <formula>H13&gt;=1</formula>
    </cfRule>
    <cfRule type="expression" dxfId="13" priority="12">
      <formula>AND(H13&gt;=0.8,H13&lt;1)</formula>
    </cfRule>
    <cfRule type="expression" dxfId="12" priority="13">
      <formula>H13&lt;0.8</formula>
    </cfRule>
  </conditionalFormatting>
  <conditionalFormatting sqref="J13">
    <cfRule type="expression" dxfId="11" priority="14">
      <formula>J13&gt;=1</formula>
    </cfRule>
    <cfRule type="expression" dxfId="10" priority="15">
      <formula>AND(J13&gt;=0.8,J13&lt;1)</formula>
    </cfRule>
    <cfRule type="expression" dxfId="9" priority="16">
      <formula>J13&lt;0.8</formula>
    </cfRule>
  </conditionalFormatting>
  <conditionalFormatting sqref="L13">
    <cfRule type="expression" dxfId="8" priority="17">
      <formula>L13&gt;=1</formula>
    </cfRule>
    <cfRule type="expression" dxfId="7" priority="18">
      <formula>AND(L13&gt;=0.8,L13&lt;1)</formula>
    </cfRule>
    <cfRule type="expression" dxfId="6" priority="19">
      <formula>L13&lt;0.8</formula>
    </cfRule>
  </conditionalFormatting>
  <conditionalFormatting sqref="K19:K22">
    <cfRule type="expression" dxfId="5" priority="20">
      <formula>K19&gt;=1</formula>
    </cfRule>
    <cfRule type="expression" dxfId="4" priority="21">
      <formula>AND(K19&gt;=0.8,K19&lt;1)</formula>
    </cfRule>
    <cfRule type="expression" dxfId="3" priority="22">
      <formula>K19&lt;0.8</formula>
    </cfRule>
  </conditionalFormatting>
  <conditionalFormatting sqref="E28:E33">
    <cfRule type="expression" dxfId="2" priority="23">
      <formula>E28&gt;=1</formula>
    </cfRule>
    <cfRule type="expression" dxfId="1" priority="24">
      <formula>AND(E28&gt;=0.8,E28&lt;1)</formula>
    </cfRule>
    <cfRule type="expression" dxfId="0" priority="25">
      <formula>E28&lt;0.8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DESCARGA DE RESPONSABILIDAD</vt:lpstr>
      <vt:lpstr>⚙️ Configuración</vt:lpstr>
      <vt:lpstr>📅 Datos Diarios</vt:lpstr>
      <vt:lpstr>📦 Inventario</vt:lpstr>
      <vt:lpstr>📊 Dashboard Ejecutivo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cp:revision>1</cp:revision>
  <dcterms:created xsi:type="dcterms:W3CDTF">2026-02-25T12:44:25Z</dcterms:created>
  <dcterms:modified xsi:type="dcterms:W3CDTF">2026-06-23T20:03:09Z</dcterms:modified>
  <dc:language>en-US</dc:language>
</cp:coreProperties>
</file>